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O:\Flying_Things\Weight and Balance\"/>
    </mc:Choice>
  </mc:AlternateContent>
  <xr:revisionPtr revIDLastSave="0" documentId="13_ncr:1_{1D42DA92-705B-4358-AA5D-E93922C1914D}" xr6:coauthVersionLast="47" xr6:coauthVersionMax="47" xr10:uidLastSave="{00000000-0000-0000-0000-000000000000}"/>
  <bookViews>
    <workbookView xWindow="4320" yWindow="1380" windowWidth="21600" windowHeight="14745" xr2:uid="{00000000-000D-0000-FFFF-FFFF00000000}"/>
  </bookViews>
  <sheets>
    <sheet name="OE-CFF" sheetId="25" r:id="rId1"/>
    <sheet name="D-ELFH" sheetId="26" r:id="rId2"/>
    <sheet name="OE-AKI" sheetId="11" r:id="rId3"/>
    <sheet name="OE-AKW" sheetId="15" r:id="rId4"/>
    <sheet name="OE-DGE" sheetId="29" r:id="rId5"/>
    <sheet name="OE-KAS" sheetId="28" r:id="rId6"/>
    <sheet name="OE-KBS" sheetId="30" r:id="rId7"/>
    <sheet name="OE-DCL" sheetId="20" r:id="rId8"/>
    <sheet name="D-EUTC" sheetId="4" r:id="rId9"/>
    <sheet name="OE-KCS" sheetId="31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8">'D-EUTC'!$A$5:$P$15</definedName>
    <definedName name="_xlnm.Print_Area" localSheetId="0">'OE-CFF'!$B$3:$H$16</definedName>
    <definedName name="_xlnm.Print_Area" localSheetId="7">'OE-DCL'!$B$4:$P$18</definedName>
    <definedName name="_xlnm.Print_Area" localSheetId="4">'OE-DGE'!$A$1:$L$23</definedName>
    <definedName name="_xlnm.Print_Area" localSheetId="5">'OE-KAS'!$A$1:$K$23</definedName>
    <definedName name="_xlnm.Print_Area" localSheetId="6">'OE-KBS'!$A$1:$O$19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31" l="1"/>
  <c r="X11" i="31"/>
  <c r="G10" i="31"/>
  <c r="G11" i="31"/>
  <c r="G12" i="31"/>
  <c r="G13" i="31"/>
  <c r="G8" i="31"/>
  <c r="G9" i="31"/>
  <c r="G14" i="31"/>
  <c r="I24" i="31"/>
  <c r="I21" i="31"/>
  <c r="I20" i="31"/>
  <c r="C19" i="31"/>
  <c r="O51" i="31"/>
  <c r="M51" i="31"/>
  <c r="O50" i="31"/>
  <c r="M50" i="31"/>
  <c r="O49" i="31"/>
  <c r="M49" i="31"/>
  <c r="E41" i="31"/>
  <c r="I23" i="31"/>
  <c r="I22" i="31"/>
  <c r="H15" i="31"/>
  <c r="G15" i="31"/>
  <c r="C22" i="31"/>
  <c r="C20" i="31"/>
  <c r="I10" i="31"/>
  <c r="I9" i="31"/>
  <c r="I8" i="31"/>
  <c r="J7" i="31"/>
  <c r="I41" i="31"/>
  <c r="J41" i="31"/>
  <c r="G12" i="25"/>
  <c r="C17" i="20"/>
  <c r="C17" i="4"/>
  <c r="B19" i="30"/>
  <c r="B23" i="28"/>
  <c r="B23" i="29"/>
  <c r="B16" i="15"/>
  <c r="B16" i="11"/>
  <c r="B16" i="26"/>
  <c r="D6" i="30"/>
  <c r="F18" i="30"/>
  <c r="F17" i="30"/>
  <c r="F16" i="30"/>
  <c r="F15" i="30"/>
  <c r="F11" i="30"/>
  <c r="E9" i="30"/>
  <c r="F9" i="30"/>
  <c r="E8" i="30"/>
  <c r="F8" i="30"/>
  <c r="E7" i="30"/>
  <c r="F7" i="30"/>
  <c r="E5" i="30"/>
  <c r="F5" i="30"/>
  <c r="F10" i="30"/>
  <c r="E10" i="30"/>
  <c r="E12" i="30"/>
  <c r="J10" i="30"/>
  <c r="D22" i="28"/>
  <c r="D21" i="28"/>
  <c r="C17" i="28"/>
  <c r="C15" i="28"/>
  <c r="C10" i="28"/>
  <c r="D10" i="28"/>
  <c r="D8" i="28"/>
  <c r="D7" i="28"/>
  <c r="D6" i="28"/>
  <c r="C5" i="28"/>
  <c r="D5" i="28"/>
  <c r="D9" i="28"/>
  <c r="C9" i="28"/>
  <c r="C11" i="28"/>
  <c r="H11" i="28"/>
  <c r="D22" i="29"/>
  <c r="D21" i="29"/>
  <c r="C17" i="29"/>
  <c r="C5" i="29"/>
  <c r="C15" i="29"/>
  <c r="C10" i="29"/>
  <c r="D10" i="29"/>
  <c r="D8" i="29"/>
  <c r="D7" i="29"/>
  <c r="D6" i="29"/>
  <c r="E13" i="26"/>
  <c r="E11" i="26"/>
  <c r="F11" i="26"/>
  <c r="E10" i="26"/>
  <c r="E5" i="26"/>
  <c r="F5" i="26"/>
  <c r="E6" i="26"/>
  <c r="E7" i="26"/>
  <c r="E8" i="26"/>
  <c r="E9" i="26"/>
  <c r="F9" i="26"/>
  <c r="F8" i="26"/>
  <c r="F7" i="26"/>
  <c r="F6" i="26"/>
  <c r="H22" i="25"/>
  <c r="H7" i="25"/>
  <c r="H23" i="25"/>
  <c r="N40" i="25"/>
  <c r="L40" i="25"/>
  <c r="N39" i="25"/>
  <c r="L39" i="25"/>
  <c r="N38" i="25"/>
  <c r="L38" i="25"/>
  <c r="K27" i="25"/>
  <c r="K26" i="25"/>
  <c r="R24" i="25"/>
  <c r="Q24" i="25"/>
  <c r="P24" i="25"/>
  <c r="O24" i="25"/>
  <c r="N24" i="25"/>
  <c r="M24" i="25"/>
  <c r="L24" i="25"/>
  <c r="K24" i="25"/>
  <c r="R23" i="25"/>
  <c r="Q23" i="25"/>
  <c r="P23" i="25"/>
  <c r="O23" i="25"/>
  <c r="N23" i="25"/>
  <c r="M23" i="25"/>
  <c r="L23" i="25"/>
  <c r="K23" i="25"/>
  <c r="G23" i="25"/>
  <c r="F23" i="25"/>
  <c r="C17" i="25"/>
  <c r="G14" i="25"/>
  <c r="H14" i="25"/>
  <c r="I14" i="25"/>
  <c r="H12" i="25"/>
  <c r="I12" i="25"/>
  <c r="G11" i="25"/>
  <c r="H10" i="25"/>
  <c r="I10" i="25"/>
  <c r="H9" i="25"/>
  <c r="I9" i="25"/>
  <c r="H8" i="25"/>
  <c r="H24" i="25"/>
  <c r="H25" i="25"/>
  <c r="H26" i="25"/>
  <c r="H27" i="25"/>
  <c r="H28" i="25"/>
  <c r="I8" i="25"/>
  <c r="G24" i="25"/>
  <c r="F24" i="25"/>
  <c r="I6" i="25"/>
  <c r="H11" i="25"/>
  <c r="I11" i="25"/>
  <c r="G13" i="25"/>
  <c r="G15" i="25"/>
  <c r="H18" i="25"/>
  <c r="G25" i="25"/>
  <c r="F25" i="25"/>
  <c r="F11" i="25"/>
  <c r="N26" i="25"/>
  <c r="H17" i="25"/>
  <c r="N27" i="25"/>
  <c r="N40" i="20"/>
  <c r="L40" i="20"/>
  <c r="N39" i="20"/>
  <c r="L39" i="20"/>
  <c r="N38" i="20"/>
  <c r="L38" i="20"/>
  <c r="K27" i="20"/>
  <c r="K26" i="20"/>
  <c r="R24" i="20"/>
  <c r="Q24" i="20"/>
  <c r="P24" i="20"/>
  <c r="O24" i="20"/>
  <c r="N24" i="20"/>
  <c r="M24" i="20"/>
  <c r="L24" i="20"/>
  <c r="K24" i="20"/>
  <c r="R23" i="20"/>
  <c r="Q23" i="20"/>
  <c r="P23" i="20"/>
  <c r="O23" i="20"/>
  <c r="N23" i="20"/>
  <c r="M23" i="20"/>
  <c r="L23" i="20"/>
  <c r="K23" i="20"/>
  <c r="G23" i="20"/>
  <c r="F23" i="20"/>
  <c r="C18" i="20"/>
  <c r="C16" i="20"/>
  <c r="G14" i="20"/>
  <c r="H14" i="20"/>
  <c r="I14" i="20"/>
  <c r="G12" i="20"/>
  <c r="G11" i="20"/>
  <c r="G13" i="20"/>
  <c r="N26" i="20"/>
  <c r="H10" i="20"/>
  <c r="I10" i="20"/>
  <c r="H9" i="20"/>
  <c r="I9" i="20"/>
  <c r="H8" i="20"/>
  <c r="I8" i="20"/>
  <c r="H7" i="20"/>
  <c r="I7" i="20"/>
  <c r="I6" i="20"/>
  <c r="H22" i="20"/>
  <c r="H12" i="20"/>
  <c r="I12" i="20"/>
  <c r="E13" i="15"/>
  <c r="F13" i="15"/>
  <c r="E11" i="15"/>
  <c r="F11" i="15"/>
  <c r="E10" i="15"/>
  <c r="F10" i="15"/>
  <c r="E9" i="15"/>
  <c r="F9" i="15"/>
  <c r="E8" i="15"/>
  <c r="F8" i="15"/>
  <c r="E7" i="15"/>
  <c r="F7" i="15"/>
  <c r="E6" i="15"/>
  <c r="E5" i="15"/>
  <c r="F5" i="15"/>
  <c r="E13" i="11"/>
  <c r="F13" i="11"/>
  <c r="E11" i="11"/>
  <c r="F11" i="11"/>
  <c r="E10" i="11"/>
  <c r="F10" i="11"/>
  <c r="E9" i="11"/>
  <c r="F9" i="11"/>
  <c r="E8" i="11"/>
  <c r="F8" i="11"/>
  <c r="E7" i="11"/>
  <c r="F7" i="11"/>
  <c r="E6" i="11"/>
  <c r="F6" i="11"/>
  <c r="E5" i="11"/>
  <c r="F5" i="11"/>
  <c r="C18" i="4"/>
  <c r="C16" i="4"/>
  <c r="G11" i="4"/>
  <c r="G12" i="4"/>
  <c r="G13" i="4"/>
  <c r="H12" i="4"/>
  <c r="I12" i="4"/>
  <c r="G14" i="4"/>
  <c r="H14" i="4"/>
  <c r="I14" i="4"/>
  <c r="H7" i="4"/>
  <c r="H8" i="4"/>
  <c r="H9" i="4"/>
  <c r="I9" i="4"/>
  <c r="H10" i="4"/>
  <c r="H11" i="4"/>
  <c r="H13" i="4"/>
  <c r="I8" i="4"/>
  <c r="I10" i="4"/>
  <c r="H22" i="4"/>
  <c r="G22" i="4"/>
  <c r="G23" i="4"/>
  <c r="G24" i="4"/>
  <c r="N39" i="4"/>
  <c r="N40" i="4"/>
  <c r="N38" i="4"/>
  <c r="L39" i="4"/>
  <c r="L40" i="4"/>
  <c r="L38" i="4"/>
  <c r="F6" i="4"/>
  <c r="I6" i="4"/>
  <c r="K23" i="4"/>
  <c r="L23" i="4"/>
  <c r="M23" i="4"/>
  <c r="N23" i="4"/>
  <c r="O23" i="4"/>
  <c r="P23" i="4"/>
  <c r="Q23" i="4"/>
  <c r="R23" i="4"/>
  <c r="K24" i="4"/>
  <c r="L24" i="4"/>
  <c r="M24" i="4"/>
  <c r="N24" i="4"/>
  <c r="O24" i="4"/>
  <c r="P24" i="4"/>
  <c r="Q24" i="4"/>
  <c r="R24" i="4"/>
  <c r="K26" i="4"/>
  <c r="K27" i="4"/>
  <c r="E12" i="11"/>
  <c r="E14" i="11"/>
  <c r="F12" i="11"/>
  <c r="F14" i="11"/>
  <c r="F15" i="11"/>
  <c r="F10" i="26"/>
  <c r="F13" i="26"/>
  <c r="F6" i="15"/>
  <c r="F12" i="15"/>
  <c r="F14" i="15"/>
  <c r="G25" i="4"/>
  <c r="F24" i="4"/>
  <c r="N26" i="4"/>
  <c r="H17" i="4"/>
  <c r="G15" i="4"/>
  <c r="H18" i="4"/>
  <c r="I11" i="4"/>
  <c r="F23" i="4"/>
  <c r="H23" i="4"/>
  <c r="H24" i="4"/>
  <c r="H25" i="4"/>
  <c r="H26" i="4"/>
  <c r="H27" i="4"/>
  <c r="H28" i="4"/>
  <c r="I7" i="4"/>
  <c r="H23" i="20"/>
  <c r="G26" i="4"/>
  <c r="G27" i="4"/>
  <c r="G28" i="4"/>
  <c r="F25" i="4"/>
  <c r="G24" i="20"/>
  <c r="G25" i="20"/>
  <c r="C23" i="31"/>
  <c r="C21" i="31"/>
  <c r="I15" i="31"/>
  <c r="F13" i="30"/>
  <c r="L10" i="30"/>
  <c r="F12" i="30"/>
  <c r="F12" i="26"/>
  <c r="F14" i="26"/>
  <c r="C9" i="29"/>
  <c r="C11" i="29"/>
  <c r="H11" i="29"/>
  <c r="D5" i="29"/>
  <c r="D9" i="29"/>
  <c r="D12" i="28"/>
  <c r="D11" i="28"/>
  <c r="D13" i="28"/>
  <c r="J11" i="28"/>
  <c r="E12" i="15"/>
  <c r="E14" i="15"/>
  <c r="F15" i="15"/>
  <c r="I7" i="25"/>
  <c r="E12" i="26"/>
  <c r="E14" i="26"/>
  <c r="G26" i="25"/>
  <c r="H13" i="25"/>
  <c r="M26" i="25"/>
  <c r="F26" i="4"/>
  <c r="H11" i="20"/>
  <c r="F11" i="20"/>
  <c r="F25" i="20"/>
  <c r="G26" i="20"/>
  <c r="H24" i="20"/>
  <c r="H25" i="20"/>
  <c r="H26" i="20"/>
  <c r="H27" i="20"/>
  <c r="H28" i="20"/>
  <c r="H17" i="20"/>
  <c r="G15" i="20"/>
  <c r="F24" i="20"/>
  <c r="J42" i="31"/>
  <c r="K42" i="31"/>
  <c r="K43" i="31"/>
  <c r="L43" i="31"/>
  <c r="L44" i="31"/>
  <c r="M44" i="31"/>
  <c r="M45" i="31"/>
  <c r="N45" i="31"/>
  <c r="N46" i="31"/>
  <c r="O46" i="31"/>
  <c r="O47" i="31"/>
  <c r="I12" i="31"/>
  <c r="I7" i="31"/>
  <c r="I11" i="31"/>
  <c r="C25" i="31"/>
  <c r="I13" i="31"/>
  <c r="I13" i="4"/>
  <c r="M26" i="4"/>
  <c r="H15" i="4"/>
  <c r="F13" i="4"/>
  <c r="H15" i="25"/>
  <c r="N27" i="4"/>
  <c r="F13" i="25"/>
  <c r="I13" i="25"/>
  <c r="F26" i="25"/>
  <c r="G27" i="25"/>
  <c r="G28" i="25"/>
  <c r="F15" i="26"/>
  <c r="D11" i="29"/>
  <c r="D13" i="29"/>
  <c r="J11" i="29"/>
  <c r="D12" i="29"/>
  <c r="I11" i="20"/>
  <c r="H13" i="20"/>
  <c r="N27" i="20"/>
  <c r="H18" i="20"/>
  <c r="G27" i="20"/>
  <c r="G28" i="20"/>
  <c r="F26" i="20"/>
  <c r="I14" i="31"/>
  <c r="J10" i="31"/>
  <c r="E44" i="31"/>
  <c r="J11" i="31"/>
  <c r="E45" i="31"/>
  <c r="J12" i="31"/>
  <c r="E46" i="31"/>
  <c r="J8" i="31"/>
  <c r="J13" i="31"/>
  <c r="E47" i="31"/>
  <c r="J9" i="31"/>
  <c r="E43" i="31"/>
  <c r="F15" i="4"/>
  <c r="I15" i="4"/>
  <c r="H16" i="4"/>
  <c r="M27" i="4"/>
  <c r="I15" i="25"/>
  <c r="M27" i="25"/>
  <c r="F15" i="25"/>
  <c r="F13" i="20"/>
  <c r="H15" i="20"/>
  <c r="M26" i="20"/>
  <c r="I13" i="20"/>
  <c r="I16" i="31"/>
  <c r="H14" i="31"/>
  <c r="M27" i="20"/>
  <c r="F15" i="20"/>
  <c r="I15" i="20"/>
  <c r="H16" i="20"/>
  <c r="H16" i="31"/>
  <c r="J16" i="31"/>
  <c r="E48" i="31"/>
  <c r="J14" i="31"/>
  <c r="G16" i="31"/>
  <c r="G17" i="31"/>
  <c r="F17" i="31"/>
</calcChain>
</file>

<file path=xl/sharedStrings.xml><?xml version="1.0" encoding="utf-8"?>
<sst xmlns="http://schemas.openxmlformats.org/spreadsheetml/2006/main" count="348" uniqueCount="151">
  <si>
    <t>Eingabefelder blau</t>
  </si>
  <si>
    <t>This tool does not replace POH/AFM</t>
  </si>
  <si>
    <t xml:space="preserve">   W&amp;B       OE-CFF</t>
  </si>
  <si>
    <t>Arm      [m]</t>
  </si>
  <si>
    <t>Masse       [kg]</t>
  </si>
  <si>
    <t>Moment [kgm]</t>
  </si>
  <si>
    <t>Schwerpunkt [mm] hinter BE</t>
  </si>
  <si>
    <t>1.</t>
  </si>
  <si>
    <r>
      <t xml:space="preserve"> Leermasse  </t>
    </r>
    <r>
      <rPr>
        <b/>
        <sz val="9"/>
        <rFont val="Arial"/>
        <family val="2"/>
      </rPr>
      <t/>
    </r>
  </si>
  <si>
    <t xml:space="preserve"> Pilot </t>
  </si>
  <si>
    <t>Passagier</t>
  </si>
  <si>
    <r>
      <t>Gepäckraum 1 (Max.54 kg)  (S</t>
    </r>
    <r>
      <rPr>
        <b/>
        <sz val="8"/>
        <rFont val="Arial"/>
        <family val="2"/>
      </rPr>
      <t>umme 4. und 5. max 54 kg !)</t>
    </r>
  </si>
  <si>
    <r>
      <t xml:space="preserve">Gepäckraum 2  </t>
    </r>
    <r>
      <rPr>
        <b/>
        <sz val="9"/>
        <rFont val="Arial"/>
        <family val="2"/>
      </rPr>
      <t>(Max. 23 kg ) (Summe 4. und 5. max 54 kg !)</t>
    </r>
  </si>
  <si>
    <t>LEERTANKMASSE und MOMENT(Summe 1. bis 5.)</t>
  </si>
  <si>
    <t>7.</t>
  </si>
  <si>
    <t>Ausfliegbarer Kraftstoff ( 0.72 kg/l) max 93 l</t>
  </si>
  <si>
    <t>8.</t>
  </si>
  <si>
    <r>
      <t xml:space="preserve"> RAMPENMASSE und MOMENT</t>
    </r>
    <r>
      <rPr>
        <b/>
        <sz val="9"/>
        <rFont val="Arial"/>
        <family val="2"/>
      </rPr>
      <t xml:space="preserve"> (max760 kg)</t>
    </r>
  </si>
  <si>
    <t>9.</t>
  </si>
  <si>
    <t xml:space="preserve"> Kraftstoffverbrauch  für Anlassen und Rollen zum Start   (0.72 kg/l)</t>
  </si>
  <si>
    <t>10.</t>
  </si>
  <si>
    <t xml:space="preserve"> ABFLUGMASSE  und  MOMENT    (max 758 kg)</t>
  </si>
  <si>
    <t>Zulässiger Schwerpunktbereich in Tabelle Seite 7-14</t>
  </si>
  <si>
    <t>W</t>
  </si>
  <si>
    <t>M</t>
  </si>
  <si>
    <t>Leermasse</t>
  </si>
  <si>
    <t xml:space="preserve">  + PilPaxfront</t>
  </si>
  <si>
    <t>+paxaft</t>
  </si>
  <si>
    <t>+gep1</t>
  </si>
  <si>
    <t>+ gep2</t>
  </si>
  <si>
    <t>+ fuel</t>
  </si>
  <si>
    <t>- taxifuel</t>
  </si>
  <si>
    <t>mm</t>
  </si>
  <si>
    <t>KG</t>
  </si>
  <si>
    <t>fwd</t>
  </si>
  <si>
    <t>aft</t>
  </si>
  <si>
    <t>utility</t>
  </si>
  <si>
    <t>&gt;885</t>
  </si>
  <si>
    <t>FWD</t>
  </si>
  <si>
    <t>AFT</t>
  </si>
  <si>
    <t>Weight and Balance Aquila A211GX</t>
  </si>
  <si>
    <t>D-ELFH</t>
  </si>
  <si>
    <t>Bei den Sitzen die Masse entsprechend Einstellung vorne, mitte, hinten eintragen</t>
  </si>
  <si>
    <t>Masse (Kg)</t>
  </si>
  <si>
    <t xml:space="preserve">Moment (Kgm) </t>
  </si>
  <si>
    <t>Leermasse /Arm Wiegeblatt</t>
  </si>
  <si>
    <t>Kg</t>
  </si>
  <si>
    <t>Sitz Pilot (Kg)</t>
  </si>
  <si>
    <t>vorn</t>
  </si>
  <si>
    <t>mitte</t>
  </si>
  <si>
    <t>hinten</t>
  </si>
  <si>
    <t>Sitz Copilot (Kg)</t>
  </si>
  <si>
    <t>Gepäck ( 40 Kg max.)</t>
  </si>
  <si>
    <t>Dry weight incl. Pax, Oil, Coolant, non usable Fuel</t>
  </si>
  <si>
    <t>Fuel am Stick(109,6 max)</t>
  </si>
  <si>
    <t>Ltr</t>
  </si>
  <si>
    <t>Takeoff Weight max 750</t>
  </si>
  <si>
    <t xml:space="preserve"> CG Aft. of Datum</t>
  </si>
  <si>
    <t>cm</t>
  </si>
  <si>
    <t>Limits aus Graph POH Page 6-10</t>
  </si>
  <si>
    <t>Created by EAR</t>
  </si>
  <si>
    <t>Weight and Balance Aquila A211</t>
  </si>
  <si>
    <t>OE-AKI</t>
  </si>
  <si>
    <t>Fuel am Stick (109,6 max)</t>
  </si>
  <si>
    <t>OE-AKW</t>
  </si>
  <si>
    <t>Creates by EAR</t>
  </si>
  <si>
    <t>Weight and Balance DA40-180</t>
  </si>
  <si>
    <t>OE-DGE</t>
  </si>
  <si>
    <t>Masse (kg)</t>
  </si>
  <si>
    <t>Moment (kgm)</t>
  </si>
  <si>
    <t>Moment</t>
  </si>
  <si>
    <t>Weight</t>
  </si>
  <si>
    <t>Nicht aufgef. Öl</t>
  </si>
  <si>
    <t>Sitze vorn</t>
  </si>
  <si>
    <t>Sizte hinten</t>
  </si>
  <si>
    <t>Gepäck</t>
  </si>
  <si>
    <t>Basic Empty Weight</t>
  </si>
  <si>
    <t>Kraftstoff</t>
  </si>
  <si>
    <t>Total weight in pounds</t>
  </si>
  <si>
    <t>Total Ramp Weight</t>
  </si>
  <si>
    <t>CG Dry</t>
  </si>
  <si>
    <t>CG Full</t>
  </si>
  <si>
    <t>Kraftstoff ausfliegbar max.152 l</t>
  </si>
  <si>
    <t>Treibstoffgewicht (kg)</t>
  </si>
  <si>
    <t>Öl am Stab (Qts)</t>
  </si>
  <si>
    <t>Nicht aufgefülltes Öl in Kg</t>
  </si>
  <si>
    <t>Aft. CG min 2,40 Aft. CG max 2,59</t>
  </si>
  <si>
    <t>US Gal -&gt; Liter</t>
  </si>
  <si>
    <t>Liter -&gt; US Gal</t>
  </si>
  <si>
    <t>OE-KAS</t>
  </si>
  <si>
    <t>Weight and Balance PA28-181</t>
  </si>
  <si>
    <t>OE-KBS</t>
  </si>
  <si>
    <t>Masse (lb)</t>
  </si>
  <si>
    <t xml:space="preserve">Moment   (inch-lb) </t>
  </si>
  <si>
    <t>Lbs</t>
  </si>
  <si>
    <t>Fuel max. 48 Gal. usable          34 Gal. usable @ Filler Neck</t>
  </si>
  <si>
    <t>Gal</t>
  </si>
  <si>
    <t>Total Fuel in Tanks</t>
  </si>
  <si>
    <t>Sitze vorne</t>
  </si>
  <si>
    <t>Gepäck (max. 200 Lbs)</t>
  </si>
  <si>
    <t>Ramp Weight (2558 max)</t>
  </si>
  <si>
    <t>Fuel allowance Taxi/Runup</t>
  </si>
  <si>
    <t>Takeoff Weight max 2550</t>
  </si>
  <si>
    <t>inch</t>
  </si>
  <si>
    <t>Conversions</t>
  </si>
  <si>
    <t>Us Gal -&gt; Liter</t>
  </si>
  <si>
    <t>Kg - &gt; Lbs</t>
  </si>
  <si>
    <t>Gal - &gt; Lbs</t>
  </si>
  <si>
    <t xml:space="preserve">   W&amp;B      OE-DCL</t>
  </si>
  <si>
    <r>
      <t xml:space="preserve"> Leermasse  (</t>
    </r>
    <r>
      <rPr>
        <sz val="9"/>
        <color indexed="10"/>
        <rFont val="Arial"/>
        <family val="2"/>
      </rPr>
      <t>Handbuch Seite 6-6</t>
    </r>
    <r>
      <rPr>
        <sz val="9"/>
        <rFont val="Arial"/>
        <family val="2"/>
      </rPr>
      <t>)</t>
    </r>
  </si>
  <si>
    <t xml:space="preserve"> Pilot und vorderer Passagier  </t>
  </si>
  <si>
    <t>Hintere Passagiere</t>
  </si>
  <si>
    <t>Gepäckraum 1 (Max.54 kg)  (Summe 4. und 5. max 54 kg !)</t>
  </si>
  <si>
    <t>Gepäckraum 2  (Max. 23 kg ) (Summe 4. und 5. max 54 kg !)</t>
  </si>
  <si>
    <t>Ausfliegbarer Kraftstoff ( 0.72 kg/l) max 200,6 l</t>
  </si>
  <si>
    <t xml:space="preserve"> RAMPENMASSE und MOMENT (Summe 6.und 7.) (max1157 kg)</t>
  </si>
  <si>
    <t xml:space="preserve"> ABFLUGMASSE  und  MOMENT  ( 8. minus 9.)  (max 1158 kg)</t>
  </si>
  <si>
    <t xml:space="preserve">   W&amp;B       D-EUTC </t>
  </si>
  <si>
    <r>
      <t xml:space="preserve"> Leermasse  </t>
    </r>
    <r>
      <rPr>
        <b/>
        <sz val="9"/>
        <rFont val="Arial"/>
        <family val="2"/>
      </rPr>
      <t>(Handbuch Seite 6-6)</t>
    </r>
  </si>
  <si>
    <r>
      <t xml:space="preserve"> RAMPENMASSE und MOMENT </t>
    </r>
    <r>
      <rPr>
        <b/>
        <sz val="9"/>
        <rFont val="Arial"/>
        <family val="2"/>
      </rPr>
      <t>(Summe 6.und 7.) (max1161 kg)</t>
    </r>
  </si>
  <si>
    <t>Eingabefelder</t>
  </si>
  <si>
    <t>Informationsfeld</t>
  </si>
  <si>
    <t xml:space="preserve">   W&amp;B       OE-KCS C182T</t>
  </si>
  <si>
    <t>Masse
[lbs]</t>
  </si>
  <si>
    <t>Arm
[inch.]</t>
  </si>
  <si>
    <t>Moment
[in/lb]</t>
  </si>
  <si>
    <t>CG</t>
  </si>
  <si>
    <t xml:space="preserve"> Basic Empty Weight (POH/AFM page 6-7)</t>
  </si>
  <si>
    <t>87 Gallons max. usable
* 74 Gallons (Line of holes in filler indicator) 
* 64 Gallons (Bottom of filler indicator)</t>
  </si>
  <si>
    <t>Pilot and Front Passenger</t>
  </si>
  <si>
    <t>Rear Passengers</t>
  </si>
  <si>
    <t>Baggage „A“ (max 54 Kg, A+B+C max  91Kg)</t>
  </si>
  <si>
    <t>Baggage „B“ (max 36 Kg, B+C max ~36 Kg)</t>
  </si>
  <si>
    <t>Baggage „C“ (max 36 Kg, B+C max ~36 Kg)</t>
  </si>
  <si>
    <t xml:space="preserve"> RAMP WEIGHT and MOMENT (3110 lbs)</t>
  </si>
  <si>
    <t>Fuel allowance for engine start, taxi, and runup max  1,65 Gal / 10 lbs.</t>
  </si>
  <si>
    <t>TAKEOFF WEIGHT and MOMENT (3100 Lbs MTOW)</t>
  </si>
  <si>
    <t>Fuel burn to reach Max Landing Weight of 2950 lbs</t>
  </si>
  <si>
    <t>Created by MFU Technik</t>
  </si>
  <si>
    <t>Lbs –&gt; Kg</t>
  </si>
  <si>
    <t>CG Landing</t>
  </si>
  <si>
    <t>CG Takeoff</t>
  </si>
  <si>
    <t>Autopilot use prohibited</t>
  </si>
  <si>
    <t>Empty</t>
  </si>
  <si>
    <t>Usable Fuel (-Taxi)</t>
  </si>
  <si>
    <t>Pilot and Front Passanger</t>
  </si>
  <si>
    <t>Rear Passangers</t>
  </si>
  <si>
    <t>Baggage A</t>
  </si>
  <si>
    <t>Baggage B</t>
  </si>
  <si>
    <t>Baggage C</t>
  </si>
  <si>
    <t>Version V30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</si>
</sst>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&quot; Liter&quot;"/>
    <numFmt numFmtId="165" formatCode="0.0"/>
    <numFmt numFmtId="166" formatCode="#,##0\ &quot;in-lbs&quot;"/>
    <numFmt numFmtId="167" formatCode="0.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10"/>
      <color indexed="8"/>
      <name val="Tahoma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20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2"/>
      <color theme="0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A500"/>
        <bgColor rgb="FFFF9900"/>
      </patternFill>
    </fill>
    <fill>
      <patternFill patternType="solid">
        <fgColor rgb="FFFFFF00"/>
        <bgColor rgb="FFFFD320"/>
      </patternFill>
    </fill>
    <fill>
      <patternFill patternType="solid">
        <fgColor rgb="FFFF972F"/>
        <bgColor rgb="FFFF9900"/>
      </patternFill>
    </fill>
    <fill>
      <patternFill patternType="solid">
        <fgColor rgb="FFFF9900"/>
        <bgColor rgb="FFFFA5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4506668294322"/>
        <bgColor rgb="FFFFD320"/>
      </patternFill>
    </fill>
    <fill>
      <patternFill patternType="solid">
        <fgColor theme="8" tint="0.3999450666829432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 style="thick">
        <color indexed="14"/>
      </left>
      <right style="thick">
        <color indexed="14"/>
      </right>
      <top/>
      <bottom style="thick">
        <color indexed="14"/>
      </bottom>
      <diagonal/>
    </border>
    <border>
      <left style="thick">
        <color indexed="11"/>
      </left>
      <right style="thick">
        <color indexed="11"/>
      </right>
      <top style="thick">
        <color indexed="15"/>
      </top>
      <bottom style="thick">
        <color indexed="11"/>
      </bottom>
      <diagonal/>
    </border>
    <border>
      <left style="thick">
        <color indexed="50"/>
      </left>
      <right style="thick">
        <color indexed="50"/>
      </right>
      <top style="thick">
        <color indexed="11"/>
      </top>
      <bottom style="thick">
        <color indexed="50"/>
      </bottom>
      <diagonal/>
    </border>
    <border>
      <left style="thick">
        <color indexed="12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ck">
        <color indexed="40"/>
      </left>
      <right style="thick">
        <color indexed="40"/>
      </right>
      <top style="medium">
        <color indexed="64"/>
      </top>
      <bottom style="thick">
        <color indexed="4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FFFF"/>
      </left>
      <right style="medium">
        <color rgb="FF00FFFF"/>
      </right>
      <top style="medium">
        <color rgb="FF00FFFF"/>
      </top>
      <bottom style="medium">
        <color rgb="FF00FFFF"/>
      </bottom>
      <diagonal/>
    </border>
    <border>
      <left style="medium">
        <color rgb="FF00FF00"/>
      </left>
      <right style="medium">
        <color rgb="FF00FF00"/>
      </right>
      <top style="medium">
        <color rgb="FF00FF00"/>
      </top>
      <bottom style="medium">
        <color rgb="FF00FF00"/>
      </bottom>
      <diagonal/>
    </border>
    <border>
      <left style="medium">
        <color rgb="FFFFFF00"/>
      </left>
      <right/>
      <top style="medium">
        <color auto="1"/>
      </top>
      <bottom style="medium">
        <color auto="1"/>
      </bottom>
      <diagonal/>
    </border>
    <border>
      <left style="thick">
        <color rgb="FF888888"/>
      </left>
      <right style="medium">
        <color auto="1"/>
      </right>
      <top style="thick">
        <color rgb="FF888888"/>
      </top>
      <bottom style="thick">
        <color rgb="FF888888"/>
      </bottom>
      <diagonal/>
    </border>
    <border>
      <left style="medium">
        <color rgb="FF888888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888888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729FCF"/>
      </left>
      <right style="medium">
        <color rgb="FF729FCF"/>
      </right>
      <top style="medium">
        <color rgb="FF729FCF"/>
      </top>
      <bottom style="medium">
        <color rgb="FF729FCF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FF"/>
      </left>
      <right/>
      <top style="medium">
        <color indexed="64"/>
      </top>
      <bottom style="medium">
        <color indexed="64"/>
      </bottom>
      <diagonal/>
    </border>
    <border>
      <left style="medium">
        <color rgb="FF00FFFF"/>
      </left>
      <right/>
      <top style="medium">
        <color indexed="64"/>
      </top>
      <bottom style="medium">
        <color indexed="64"/>
      </bottom>
      <diagonal/>
    </border>
    <border>
      <left style="medium">
        <color rgb="FF00FF00"/>
      </left>
      <right/>
      <top style="medium">
        <color indexed="64"/>
      </top>
      <bottom style="medium">
        <color indexed="64"/>
      </bottom>
      <diagonal/>
    </border>
    <border>
      <left style="medium">
        <color rgb="FF729FCF"/>
      </left>
      <right/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indexed="64"/>
      </top>
      <bottom style="thick">
        <color rgb="FF88888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FFFF00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/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1" fillId="0" borderId="0" xfId="0" applyFont="1"/>
    <xf numFmtId="2" fontId="4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right"/>
    </xf>
    <xf numFmtId="0" fontId="9" fillId="0" borderId="0" xfId="0" quotePrefix="1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13" fillId="0" borderId="0" xfId="0" applyFont="1"/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0" xfId="0" applyNumberFormat="1" applyFont="1"/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horizontal="right"/>
    </xf>
    <xf numFmtId="0" fontId="13" fillId="0" borderId="0" xfId="0" quotePrefix="1" applyFont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2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2" fontId="0" fillId="0" borderId="37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3" borderId="33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6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0" fontId="0" fillId="2" borderId="31" xfId="0" applyFill="1" applyBorder="1" applyAlignment="1" applyProtection="1">
      <alignment horizontal="center"/>
      <protection locked="0"/>
    </xf>
    <xf numFmtId="0" fontId="0" fillId="0" borderId="34" xfId="0" applyBorder="1"/>
    <xf numFmtId="2" fontId="0" fillId="0" borderId="35" xfId="0" applyNumberFormat="1" applyBorder="1"/>
    <xf numFmtId="0" fontId="0" fillId="0" borderId="38" xfId="0" applyBorder="1"/>
    <xf numFmtId="0" fontId="0" fillId="2" borderId="39" xfId="0" applyFill="1" applyBorder="1" applyProtection="1">
      <protection locked="0"/>
    </xf>
    <xf numFmtId="2" fontId="0" fillId="0" borderId="40" xfId="0" applyNumberFormat="1" applyBorder="1"/>
    <xf numFmtId="0" fontId="19" fillId="0" borderId="0" xfId="0" applyFont="1"/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2" fontId="11" fillId="0" borderId="45" xfId="0" applyNumberFormat="1" applyFont="1" applyBorder="1" applyAlignment="1">
      <alignment horizontal="center" vertical="center"/>
    </xf>
    <xf numFmtId="2" fontId="11" fillId="0" borderId="4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2" fontId="15" fillId="0" borderId="3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left" vertical="center" wrapText="1"/>
    </xf>
    <xf numFmtId="2" fontId="15" fillId="0" borderId="47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2" fontId="15" fillId="0" borderId="57" xfId="0" applyNumberFormat="1" applyFont="1" applyBorder="1" applyAlignment="1">
      <alignment horizontal="center" vertical="center"/>
    </xf>
    <xf numFmtId="2" fontId="15" fillId="0" borderId="37" xfId="0" applyNumberFormat="1" applyFont="1" applyBorder="1"/>
    <xf numFmtId="0" fontId="15" fillId="0" borderId="37" xfId="0" applyFont="1" applyBorder="1"/>
    <xf numFmtId="0" fontId="15" fillId="2" borderId="39" xfId="0" applyFont="1" applyFill="1" applyBorder="1" applyProtection="1">
      <protection locked="0"/>
    </xf>
    <xf numFmtId="0" fontId="15" fillId="0" borderId="40" xfId="0" applyFont="1" applyBorder="1"/>
    <xf numFmtId="0" fontId="2" fillId="0" borderId="0" xfId="0" applyFont="1"/>
    <xf numFmtId="0" fontId="1" fillId="0" borderId="8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164" fontId="23" fillId="0" borderId="10" xfId="0" applyNumberFormat="1" applyFont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6" fontId="2" fillId="0" borderId="0" xfId="0" applyNumberFormat="1" applyFont="1"/>
    <xf numFmtId="165" fontId="5" fillId="5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center" vertical="center" wrapText="1"/>
    </xf>
    <xf numFmtId="2" fontId="15" fillId="0" borderId="5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5" fillId="0" borderId="42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2" fontId="0" fillId="0" borderId="61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2" borderId="59" xfId="0" applyNumberForma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41" xfId="0" applyBorder="1" applyAlignment="1">
      <alignment horizontal="left" vertical="center" wrapText="1"/>
    </xf>
    <xf numFmtId="2" fontId="1" fillId="2" borderId="60" xfId="0" applyNumberFormat="1" applyFont="1" applyFill="1" applyBorder="1" applyAlignment="1" applyProtection="1">
      <alignment horizontal="center" vertical="center"/>
      <protection locked="0"/>
    </xf>
    <xf numFmtId="2" fontId="0" fillId="0" borderId="62" xfId="0" applyNumberForma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2" fontId="0" fillId="0" borderId="45" xfId="0" applyNumberForma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left" vertical="center" wrapText="1"/>
    </xf>
    <xf numFmtId="2" fontId="0" fillId="0" borderId="47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4" fontId="2" fillId="0" borderId="0" xfId="0" applyNumberFormat="1" applyFont="1"/>
    <xf numFmtId="0" fontId="1" fillId="0" borderId="43" xfId="0" applyFont="1" applyBorder="1" applyAlignment="1">
      <alignment horizontal="left" vertical="center" wrapText="1"/>
    </xf>
    <xf numFmtId="2" fontId="0" fillId="0" borderId="54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0" fillId="2" borderId="61" xfId="0" applyFill="1" applyBorder="1" applyProtection="1">
      <protection locked="0"/>
    </xf>
    <xf numFmtId="0" fontId="2" fillId="0" borderId="0" xfId="0" applyFont="1" applyAlignment="1">
      <alignment horizontal="right" vertical="center"/>
    </xf>
    <xf numFmtId="0" fontId="15" fillId="0" borderId="59" xfId="0" applyFont="1" applyBorder="1" applyAlignment="1">
      <alignment horizontal="center" vertical="center" wrapText="1"/>
    </xf>
    <xf numFmtId="2" fontId="15" fillId="0" borderId="59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0" fontId="15" fillId="2" borderId="59" xfId="0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>
      <alignment horizontal="left" vertical="center" wrapText="1"/>
    </xf>
    <xf numFmtId="0" fontId="15" fillId="4" borderId="59" xfId="0" applyFont="1" applyFill="1" applyBorder="1" applyAlignment="1">
      <alignment horizontal="center" vertical="center" wrapText="1"/>
    </xf>
    <xf numFmtId="2" fontId="15" fillId="4" borderId="59" xfId="0" applyNumberFormat="1" applyFont="1" applyFill="1" applyBorder="1" applyAlignment="1">
      <alignment horizontal="center" vertical="center"/>
    </xf>
    <xf numFmtId="1" fontId="15" fillId="4" borderId="37" xfId="0" applyNumberFormat="1" applyFont="1" applyFill="1" applyBorder="1" applyAlignment="1">
      <alignment horizontal="center" vertical="center"/>
    </xf>
    <xf numFmtId="1" fontId="11" fillId="0" borderId="46" xfId="0" applyNumberFormat="1" applyFont="1" applyBorder="1" applyAlignment="1">
      <alignment horizontal="center" vertical="center"/>
    </xf>
    <xf numFmtId="1" fontId="15" fillId="0" borderId="53" xfId="0" applyNumberFormat="1" applyFont="1" applyBorder="1" applyAlignment="1">
      <alignment horizontal="center" vertical="center"/>
    </xf>
    <xf numFmtId="0" fontId="15" fillId="2" borderId="59" xfId="0" applyFont="1" applyFill="1" applyBorder="1" applyProtection="1">
      <protection locked="0"/>
    </xf>
    <xf numFmtId="1" fontId="0" fillId="0" borderId="67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4" fillId="0" borderId="66" xfId="0" applyNumberFormat="1" applyFont="1" applyBorder="1" applyAlignment="1">
      <alignment horizontal="center" vertical="center"/>
    </xf>
    <xf numFmtId="1" fontId="24" fillId="0" borderId="66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27" fillId="0" borderId="11" xfId="0" applyNumberFormat="1" applyFont="1" applyBorder="1" applyAlignment="1">
      <alignment horizontal="center" vertical="center"/>
    </xf>
    <xf numFmtId="1" fontId="30" fillId="0" borderId="66" xfId="0" applyNumberFormat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25" fillId="0" borderId="0" xfId="0" applyFont="1" applyAlignment="1">
      <alignment horizontal="center"/>
    </xf>
    <xf numFmtId="0" fontId="27" fillId="0" borderId="6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65" fontId="34" fillId="0" borderId="6" xfId="0" applyNumberFormat="1" applyFont="1" applyBorder="1" applyAlignment="1" applyProtection="1">
      <alignment horizontal="center" vertical="center"/>
      <protection locked="0"/>
    </xf>
    <xf numFmtId="0" fontId="27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167" fontId="0" fillId="0" borderId="71" xfId="0" applyNumberForma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1" fillId="9" borderId="59" xfId="0" applyFont="1" applyFill="1" applyBorder="1" applyAlignment="1" applyProtection="1">
      <alignment horizontal="center" vertical="center"/>
      <protection locked="0"/>
    </xf>
    <xf numFmtId="2" fontId="31" fillId="0" borderId="3" xfId="0" applyNumberFormat="1" applyFont="1" applyBorder="1" applyAlignment="1">
      <alignment horizontal="center" vertical="center"/>
    </xf>
    <xf numFmtId="165" fontId="13" fillId="0" borderId="0" xfId="0" applyNumberFormat="1" applyFont="1"/>
    <xf numFmtId="0" fontId="31" fillId="9" borderId="32" xfId="0" applyFont="1" applyFill="1" applyBorder="1" applyAlignment="1" applyProtection="1">
      <alignment horizontal="center" vertical="center"/>
      <protection locked="0"/>
    </xf>
    <xf numFmtId="2" fontId="31" fillId="0" borderId="4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7" fillId="0" borderId="86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165" fontId="34" fillId="0" borderId="89" xfId="0" applyNumberFormat="1" applyFont="1" applyBorder="1" applyAlignment="1" applyProtection="1">
      <alignment horizontal="center" vertical="center"/>
      <protection locked="0"/>
    </xf>
    <xf numFmtId="167" fontId="0" fillId="0" borderId="87" xfId="0" applyNumberFormat="1" applyBorder="1" applyAlignment="1">
      <alignment horizontal="center" vertical="center"/>
    </xf>
    <xf numFmtId="0" fontId="0" fillId="0" borderId="92" xfId="0" applyBorder="1"/>
    <xf numFmtId="0" fontId="27" fillId="0" borderId="91" xfId="0" applyFont="1" applyBorder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>
      <alignment horizontal="center" vertical="center"/>
    </xf>
    <xf numFmtId="0" fontId="1" fillId="10" borderId="88" xfId="0" applyFont="1" applyFill="1" applyBorder="1" applyAlignment="1">
      <alignment vertical="center"/>
    </xf>
    <xf numFmtId="0" fontId="1" fillId="0" borderId="93" xfId="0" applyFont="1" applyBorder="1" applyAlignment="1">
      <alignment horizontal="center" vertical="center"/>
    </xf>
    <xf numFmtId="165" fontId="1" fillId="12" borderId="94" xfId="0" applyNumberFormat="1" applyFont="1" applyFill="1" applyBorder="1" applyAlignment="1">
      <alignment horizontal="center" vertical="center"/>
    </xf>
    <xf numFmtId="165" fontId="34" fillId="12" borderId="95" xfId="0" applyNumberFormat="1" applyFont="1" applyFill="1" applyBorder="1" applyAlignment="1">
      <alignment horizontal="center" vertical="center"/>
    </xf>
    <xf numFmtId="165" fontId="27" fillId="10" borderId="11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90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5" fillId="5" borderId="10" xfId="0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4" fillId="0" borderId="19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0" xfId="0" applyFont="1"/>
    <xf numFmtId="1" fontId="12" fillId="0" borderId="0" xfId="0" applyNumberFormat="1" applyFont="1" applyAlignment="1">
      <alignment horizontal="center" vertical="center"/>
    </xf>
    <xf numFmtId="164" fontId="5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1" fontId="40" fillId="0" borderId="8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68" xfId="0" applyBorder="1" applyAlignment="1">
      <alignment horizontal="center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61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15" fillId="0" borderId="59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59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28" fillId="0" borderId="76" xfId="0" applyFont="1" applyBorder="1" applyAlignment="1">
      <alignment horizontal="left" vertical="center" wrapText="1"/>
    </xf>
    <xf numFmtId="0" fontId="28" fillId="0" borderId="77" xfId="0" applyFont="1" applyBorder="1" applyAlignment="1">
      <alignment horizontal="left" vertical="center" wrapText="1"/>
    </xf>
    <xf numFmtId="1" fontId="39" fillId="0" borderId="0" xfId="0" applyNumberFormat="1" applyFont="1" applyAlignment="1">
      <alignment horizontal="right" vertical="top"/>
    </xf>
    <xf numFmtId="1" fontId="35" fillId="0" borderId="0" xfId="0" applyNumberFormat="1" applyFont="1" applyAlignment="1">
      <alignment horizontal="right" vertical="top"/>
    </xf>
    <xf numFmtId="0" fontId="31" fillId="0" borderId="6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83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84" xfId="0" applyFont="1" applyBorder="1" applyAlignment="1">
      <alignment horizontal="left" vertical="center"/>
    </xf>
    <xf numFmtId="0" fontId="28" fillId="0" borderId="85" xfId="0" applyFont="1" applyBorder="1" applyAlignment="1">
      <alignment horizontal="left" vertical="center" wrapText="1"/>
    </xf>
    <xf numFmtId="167" fontId="1" fillId="10" borderId="9" xfId="0" applyNumberFormat="1" applyFont="1" applyFill="1" applyBorder="1" applyAlignment="1">
      <alignment horizontal="center" vertical="center" wrapText="1"/>
    </xf>
    <xf numFmtId="167" fontId="0" fillId="10" borderId="9" xfId="0" applyNumberFormat="1" applyFill="1" applyBorder="1" applyAlignment="1">
      <alignment horizontal="center" vertical="center" wrapText="1"/>
    </xf>
    <xf numFmtId="167" fontId="0" fillId="10" borderId="20" xfId="0" applyNumberFormat="1" applyFill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/>
    </xf>
  </cellXfs>
  <cellStyles count="1">
    <cellStyle name="Standard" xfId="0" builtinId="0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FF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de-AT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Zulässiger Schwepunktbereich OE-DGE</a:t>
            </a:r>
          </a:p>
        </c:rich>
      </c:tx>
      <c:layout>
        <c:manualLayout>
          <c:xMode val="edge"/>
          <c:yMode val="edge"/>
          <c:x val="0.27630212890055406"/>
          <c:y val="4.4205589631323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41240914068135"/>
          <c:y val="0.14079130778842786"/>
          <c:w val="0.73702546669798497"/>
          <c:h val="0.65665236051502196"/>
        </c:manualLayout>
      </c:layout>
      <c:scatterChart>
        <c:scatterStyle val="lineMarker"/>
        <c:varyColors val="0"/>
        <c:ser>
          <c:idx val="2"/>
          <c:order val="0"/>
          <c:tx>
            <c:strRef>
              <c:f>'OE-DGE'!$K$4</c:f>
              <c:strCache>
                <c:ptCount val="1"/>
                <c:pt idx="0">
                  <c:v>Weight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'OE-DGE'!$J$5:$J$11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2.4893175834571295</c:v>
                </c:pt>
              </c:numCache>
            </c:numRef>
          </c:xVal>
          <c:yVal>
            <c:numRef>
              <c:f>'OE-DGE'!$K$5:$K$11</c:f>
              <c:numCache>
                <c:formatCode>General</c:formatCode>
                <c:ptCount val="7"/>
                <c:pt idx="0">
                  <c:v>780</c:v>
                </c:pt>
                <c:pt idx="1">
                  <c:v>980</c:v>
                </c:pt>
                <c:pt idx="2">
                  <c:v>1150</c:v>
                </c:pt>
                <c:pt idx="3">
                  <c:v>1150</c:v>
                </c:pt>
                <c:pt idx="4">
                  <c:v>780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B-4C52-A79C-7F863D552CC7}"/>
            </c:ext>
          </c:extLst>
        </c:ser>
        <c:ser>
          <c:idx val="3"/>
          <c:order val="1"/>
          <c:tx>
            <c:strRef>
              <c:f>'[1]OE-KBS'!$G$30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'[1]OE-KBS'!$J$5:$J$11</c:f>
              <c:numCache>
                <c:formatCode>General</c:formatCode>
                <c:ptCount val="7"/>
                <c:pt idx="5">
                  <c:v>0</c:v>
                </c:pt>
                <c:pt idx="6">
                  <c:v>3150.2000000000003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9B-4C52-A79C-7F863D552CC7}"/>
            </c:ext>
          </c:extLst>
        </c:ser>
        <c:ser>
          <c:idx val="0"/>
          <c:order val="2"/>
          <c:tx>
            <c:strRef>
              <c:f>'[2]OE-DGE'!$H$11</c:f>
              <c:strCache>
                <c:ptCount val="1"/>
                <c:pt idx="0">
                  <c:v>1092,0335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'[1]OE-KBS'!$M$5:$M$11</c:f>
              <c:numCache>
                <c:formatCode>General</c:formatCode>
                <c:ptCount val="7"/>
                <c:pt idx="0">
                  <c:v>2000</c:v>
                </c:pt>
                <c:pt idx="1">
                  <c:v>2800</c:v>
                </c:pt>
                <c:pt idx="2">
                  <c:v>3400</c:v>
                </c:pt>
                <c:pt idx="3">
                  <c:v>3400</c:v>
                </c:pt>
                <c:pt idx="4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9B-4C52-A79C-7F863D552CC7}"/>
            </c:ext>
          </c:extLst>
        </c:ser>
        <c:ser>
          <c:idx val="1"/>
          <c:order val="3"/>
          <c:tx>
            <c:strRef>
              <c:f>'OE-DGE'!$H$11</c:f>
              <c:strCache>
                <c:ptCount val="1"/>
                <c:pt idx="0">
                  <c:v>1145,36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DA35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'OE-DGE'!$J$5:$J$11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2.4893175834571295</c:v>
                </c:pt>
              </c:numCache>
            </c:numRef>
          </c:xVal>
          <c:yVal>
            <c:numRef>
              <c:f>'OE-DGE'!$H$5:$H$11</c:f>
              <c:numCache>
                <c:formatCode>General</c:formatCode>
                <c:ptCount val="7"/>
                <c:pt idx="5">
                  <c:v>0</c:v>
                </c:pt>
                <c:pt idx="6" formatCode="0.00">
                  <c:v>1145.3634999999999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9B-4C52-A79C-7F863D552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21328"/>
        <c:axId val="187058048"/>
      </c:scatterChart>
      <c:valAx>
        <c:axId val="186621328"/>
        <c:scaling>
          <c:orientation val="minMax"/>
          <c:max val="2.605"/>
          <c:min val="2.3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7058048"/>
        <c:crosses val="autoZero"/>
        <c:crossBetween val="midCat"/>
        <c:majorUnit val="5.000000000000001E-2"/>
      </c:valAx>
      <c:valAx>
        <c:axId val="187058048"/>
        <c:scaling>
          <c:orientation val="minMax"/>
          <c:max val="1180"/>
          <c:min val="78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6621328"/>
        <c:crossesAt val="0"/>
        <c:crossBetween val="midCat"/>
        <c:majorUnit val="50"/>
        <c:minorUnit val="25"/>
      </c:valAx>
      <c:spPr>
        <a:solidFill>
          <a:schemeClr val="bg2"/>
        </a:solidFill>
        <a:ln w="158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3" r="0.750000000000003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de-AT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Zulässiger Schwerpunktbereich OE-KAS</a:t>
            </a:r>
          </a:p>
        </c:rich>
      </c:tx>
      <c:layout>
        <c:manualLayout>
          <c:xMode val="edge"/>
          <c:yMode val="edge"/>
          <c:x val="0.27630212890055406"/>
          <c:y val="4.4205589631323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41240914068135"/>
          <c:y val="0.14079130778842786"/>
          <c:w val="0.73702546669798497"/>
          <c:h val="0.65665236051502196"/>
        </c:manualLayout>
      </c:layout>
      <c:scatterChart>
        <c:scatterStyle val="lineMarker"/>
        <c:varyColors val="0"/>
        <c:ser>
          <c:idx val="2"/>
          <c:order val="0"/>
          <c:tx>
            <c:strRef>
              <c:f>'OE-KAS'!$K$13</c:f>
              <c:strCache>
                <c:ptCount val="1"/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'OE-KAS'!$J$5:$J$11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2.4570962030880672</c:v>
                </c:pt>
              </c:numCache>
            </c:numRef>
          </c:xVal>
          <c:yVal>
            <c:numRef>
              <c:f>'OE-KAS'!$K$5:$K$11</c:f>
              <c:numCache>
                <c:formatCode>General</c:formatCode>
                <c:ptCount val="7"/>
                <c:pt idx="0">
                  <c:v>780</c:v>
                </c:pt>
                <c:pt idx="1">
                  <c:v>980</c:v>
                </c:pt>
                <c:pt idx="2">
                  <c:v>1150</c:v>
                </c:pt>
                <c:pt idx="3">
                  <c:v>1150</c:v>
                </c:pt>
                <c:pt idx="4">
                  <c:v>780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26-418F-B2D4-9B52172F74C7}"/>
            </c:ext>
          </c:extLst>
        </c:ser>
        <c:ser>
          <c:idx val="3"/>
          <c:order val="1"/>
          <c:tx>
            <c:strRef>
              <c:f>'[1]OE-KBS'!$G$30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'[1]OE-KBS'!$J$5:$J$11</c:f>
              <c:numCache>
                <c:formatCode>General</c:formatCode>
                <c:ptCount val="7"/>
                <c:pt idx="5">
                  <c:v>0</c:v>
                </c:pt>
                <c:pt idx="6">
                  <c:v>3150.2000000000003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26-418F-B2D4-9B52172F74C7}"/>
            </c:ext>
          </c:extLst>
        </c:ser>
        <c:ser>
          <c:idx val="0"/>
          <c:order val="2"/>
          <c:tx>
            <c:strRef>
              <c:f>'[3]OE-KAS'!$H$11</c:f>
              <c:strCache>
                <c:ptCount val="1"/>
                <c:pt idx="0">
                  <c:v>1152,9035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'[1]OE-KBS'!$M$5:$M$11</c:f>
              <c:numCache>
                <c:formatCode>General</c:formatCode>
                <c:ptCount val="7"/>
                <c:pt idx="0">
                  <c:v>2000</c:v>
                </c:pt>
                <c:pt idx="1">
                  <c:v>2800</c:v>
                </c:pt>
                <c:pt idx="2">
                  <c:v>3400</c:v>
                </c:pt>
                <c:pt idx="3">
                  <c:v>3400</c:v>
                </c:pt>
                <c:pt idx="4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26-418F-B2D4-9B52172F74C7}"/>
            </c:ext>
          </c:extLst>
        </c:ser>
        <c:ser>
          <c:idx val="1"/>
          <c:order val="3"/>
          <c:tx>
            <c:strRef>
              <c:f>'OE-KAS'!$H$11</c:f>
              <c:strCache>
                <c:ptCount val="1"/>
                <c:pt idx="0">
                  <c:v>1112,44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DA35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'OE-KAS'!$J$5:$J$11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2.4570962030880672</c:v>
                </c:pt>
              </c:numCache>
            </c:numRef>
          </c:xVal>
          <c:yVal>
            <c:numRef>
              <c:f>'OE-KAS'!$H$5:$H$11</c:f>
              <c:numCache>
                <c:formatCode>General</c:formatCode>
                <c:ptCount val="7"/>
                <c:pt idx="5">
                  <c:v>0</c:v>
                </c:pt>
                <c:pt idx="6" formatCode="0.00">
                  <c:v>1112.4434999999999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26-418F-B2D4-9B52172F7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96824"/>
        <c:axId val="381705840"/>
      </c:scatterChart>
      <c:valAx>
        <c:axId val="381696824"/>
        <c:scaling>
          <c:orientation val="minMax"/>
          <c:max val="2.605"/>
          <c:min val="2.3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5840"/>
        <c:crosses val="autoZero"/>
        <c:crossBetween val="midCat"/>
        <c:majorUnit val="5.000000000000001E-2"/>
      </c:valAx>
      <c:valAx>
        <c:axId val="381705840"/>
        <c:scaling>
          <c:orientation val="minMax"/>
          <c:max val="1180"/>
          <c:min val="78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6824"/>
        <c:crossesAt val="0"/>
        <c:crossBetween val="midCat"/>
        <c:majorUnit val="50"/>
        <c:minorUnit val="25"/>
      </c:valAx>
      <c:spPr>
        <a:solidFill>
          <a:schemeClr val="bg2"/>
        </a:solidFill>
        <a:ln w="158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3" r="0.750000000000003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de-AT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CG Envelope OE-KBS</a:t>
            </a:r>
          </a:p>
        </c:rich>
      </c:tx>
      <c:layout>
        <c:manualLayout>
          <c:xMode val="edge"/>
          <c:yMode val="edge"/>
          <c:x val="0.44656651182200552"/>
          <c:y val="3.4613191336694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505551345831"/>
          <c:y val="0.10284156926427362"/>
          <c:w val="0.79281345061992758"/>
          <c:h val="0.7621679664142702"/>
        </c:manualLayout>
      </c:layout>
      <c:scatterChart>
        <c:scatterStyle val="lineMarker"/>
        <c:varyColors val="0"/>
        <c:ser>
          <c:idx val="2"/>
          <c:order val="0"/>
          <c:tx>
            <c:strRef>
              <c:f>'OE-KBS'!$M$3</c:f>
              <c:strCache>
                <c:ptCount val="1"/>
                <c:pt idx="0">
                  <c:v>Weight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'OE-KBS'!$L$4:$L$10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6" formatCode="#\ ##0\ &quot;in-lbs&quot;">
                  <c:v>89.946430002404028</c:v>
                </c:pt>
              </c:numCache>
            </c:numRef>
          </c:xVal>
          <c:yVal>
            <c:numRef>
              <c:f>'OE-KBS'!$M$4:$M$10</c:f>
              <c:numCache>
                <c:formatCode>General</c:formatCode>
                <c:ptCount val="7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BB-48F0-999D-54E1C3C655DA}"/>
            </c:ext>
          </c:extLst>
        </c:ser>
        <c:ser>
          <c:idx val="3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yVal>
            <c:numRef>
              <c:f>'[4]OE-KBS'!$M$3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BB-48F0-999D-54E1C3C655DA}"/>
            </c:ext>
          </c:extLst>
        </c:ser>
        <c:ser>
          <c:idx val="0"/>
          <c:order val="2"/>
          <c:tx>
            <c:strRef>
              <c:f>'[4]OE-KBS'!$M$3</c:f>
              <c:strCache>
                <c:ptCount val="1"/>
                <c:pt idx="0">
                  <c:v>Weight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'[4]OE-KBS'!$L$4:$L$10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6">
                  <c:v>87.349842914154706</c:v>
                </c:pt>
              </c:numCache>
            </c:numRef>
          </c:xVal>
          <c:yVal>
            <c:numRef>
              <c:f>'[4]OE-KBS'!$M$4:$M$10</c:f>
              <c:numCache>
                <c:formatCode>General</c:formatCode>
                <c:ptCount val="7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BB-48F0-999D-54E1C3C655DA}"/>
            </c:ext>
          </c:extLst>
        </c:ser>
        <c:ser>
          <c:idx val="1"/>
          <c:order val="3"/>
          <c:tx>
            <c:strRef>
              <c:f>'OE-KBS'!$M$3</c:f>
              <c:strCache>
                <c:ptCount val="1"/>
                <c:pt idx="0">
                  <c:v>Weight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DA35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'OE-KBS'!$L$4:$L$10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6" formatCode="#\ ##0\ &quot;in-lbs&quot;">
                  <c:v>89.946430002404028</c:v>
                </c:pt>
              </c:numCache>
            </c:numRef>
          </c:xVal>
          <c:yVal>
            <c:numRef>
              <c:f>'OE-KBS'!$J$4:$J$10</c:f>
              <c:numCache>
                <c:formatCode>General</c:formatCode>
                <c:ptCount val="7"/>
                <c:pt idx="5">
                  <c:v>0</c:v>
                </c:pt>
                <c:pt idx="6" formatCode="0.00">
                  <c:v>2487.8000000000002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BB-48F0-999D-54E1C3C6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706232"/>
        <c:axId val="381696040"/>
      </c:scatterChart>
      <c:valAx>
        <c:axId val="381706232"/>
        <c:scaling>
          <c:orientation val="minMax"/>
          <c:max val="94"/>
          <c:min val="81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6040"/>
        <c:crossesAt val="1000"/>
        <c:crossBetween val="midCat"/>
        <c:majorUnit val="1"/>
        <c:minorUnit val="1"/>
      </c:valAx>
      <c:valAx>
        <c:axId val="381696040"/>
        <c:scaling>
          <c:orientation val="minMax"/>
          <c:max val="2600"/>
          <c:min val="12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6232"/>
        <c:crossesAt val="30"/>
        <c:crossBetween val="midCat"/>
        <c:majorUnit val="100"/>
        <c:minorUnit val="25"/>
      </c:valAx>
      <c:spPr>
        <a:solidFill>
          <a:schemeClr val="bg2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3" r="0.750000000000003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1450381679573E-2"/>
          <c:y val="5.506613851930172E-2"/>
          <c:w val="0.85305343511450427"/>
          <c:h val="0.8546264698195617"/>
        </c:manualLayout>
      </c:layout>
      <c:scatterChart>
        <c:scatterStyle val="lineMarker"/>
        <c:varyColors val="0"/>
        <c:ser>
          <c:idx val="0"/>
          <c:order val="0"/>
          <c:tx>
            <c:v>fwd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'OE-DCL'!$J$43:$J$45</c:f>
              <c:numCache>
                <c:formatCode>General</c:formatCode>
                <c:ptCount val="3"/>
                <c:pt idx="0">
                  <c:v>622.29999999999995</c:v>
                </c:pt>
                <c:pt idx="1">
                  <c:v>786.76499999999999</c:v>
                </c:pt>
                <c:pt idx="2">
                  <c:v>1205.4780000000001</c:v>
                </c:pt>
              </c:numCache>
            </c:numRef>
          </c:xVal>
          <c:yVal>
            <c:numRef>
              <c:f>'OE-DCL'!$K$43:$K$45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2A-49E6-923B-0E05764A0880}"/>
            </c:ext>
          </c:extLst>
        </c:ser>
        <c:ser>
          <c:idx val="1"/>
          <c:order val="1"/>
          <c:tx>
            <c:v>aft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'OE-DCL'!$N$38:$N$40</c:f>
              <c:numCache>
                <c:formatCode>General</c:formatCode>
                <c:ptCount val="3"/>
                <c:pt idx="0">
                  <c:v>840.7</c:v>
                </c:pt>
                <c:pt idx="1">
                  <c:v>1062.885</c:v>
                </c:pt>
                <c:pt idx="2">
                  <c:v>1390.758</c:v>
                </c:pt>
              </c:numCache>
            </c:numRef>
          </c:xVal>
          <c:yVal>
            <c:numRef>
              <c:f>'OE-DCL'!$O$38:$O$40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2A-49E6-923B-0E05764A0880}"/>
            </c:ext>
          </c:extLst>
        </c:ser>
        <c:ser>
          <c:idx val="2"/>
          <c:order val="2"/>
          <c:tx>
            <c:v>mtow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'OE-DCL'!$J$45:$J$46</c:f>
              <c:numCache>
                <c:formatCode>General</c:formatCode>
                <c:ptCount val="2"/>
                <c:pt idx="0">
                  <c:v>1205.4780000000001</c:v>
                </c:pt>
                <c:pt idx="1">
                  <c:v>1390.758</c:v>
                </c:pt>
              </c:numCache>
            </c:numRef>
          </c:xVal>
          <c:yVal>
            <c:numRef>
              <c:f>'OE-DCL'!$K$45:$K$46</c:f>
              <c:numCache>
                <c:formatCode>General</c:formatCode>
                <c:ptCount val="2"/>
                <c:pt idx="0">
                  <c:v>1158</c:v>
                </c:pt>
                <c:pt idx="1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2A-49E6-923B-0E05764A0880}"/>
            </c:ext>
          </c:extLst>
        </c:ser>
        <c:ser>
          <c:idx val="4"/>
          <c:order val="3"/>
          <c:tx>
            <c:v>Pil/Pax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E2A-49E6-923B-0E05764A0880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FF00FF"/>
                </a:solidFill>
                <a:ln>
                  <a:solidFill>
                    <a:srgbClr val="FF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E2A-49E6-923B-0E05764A0880}"/>
              </c:ext>
            </c:extLst>
          </c:dPt>
          <c:xVal>
            <c:numRef>
              <c:f>'OE-DCL'!$H$22:$H$23</c:f>
              <c:numCache>
                <c:formatCode>0.00</c:formatCode>
                <c:ptCount val="2"/>
                <c:pt idx="0">
                  <c:v>834.2</c:v>
                </c:pt>
                <c:pt idx="1">
                  <c:v>1003.4000000000001</c:v>
                </c:pt>
              </c:numCache>
            </c:numRef>
          </c:xVal>
          <c:yVal>
            <c:numRef>
              <c:f>'OE-DCL'!$G$22:$G$23</c:f>
              <c:numCache>
                <c:formatCode>0.00</c:formatCode>
                <c:ptCount val="2"/>
                <c:pt idx="0">
                  <c:v>789</c:v>
                </c:pt>
                <c:pt idx="1">
                  <c:v>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2A-49E6-923B-0E05764A0880}"/>
            </c:ext>
          </c:extLst>
        </c:ser>
        <c:ser>
          <c:idx val="3"/>
          <c:order val="4"/>
          <c:tx>
            <c:v>Pax_aft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6"/>
              <c:spPr>
                <a:solidFill>
                  <a:srgbClr val="00FF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2A-49E6-923B-0E05764A0880}"/>
              </c:ext>
            </c:extLst>
          </c:dPt>
          <c:xVal>
            <c:numRef>
              <c:f>'OE-DCL'!$H$23:$H$24</c:f>
              <c:numCache>
                <c:formatCode>0.00</c:formatCode>
                <c:ptCount val="2"/>
                <c:pt idx="0">
                  <c:v>1003.4000000000001</c:v>
                </c:pt>
                <c:pt idx="1">
                  <c:v>1040.48</c:v>
                </c:pt>
              </c:numCache>
            </c:numRef>
          </c:xVal>
          <c:yVal>
            <c:numRef>
              <c:f>'OE-DCL'!$G$23:$G$24</c:f>
              <c:numCache>
                <c:formatCode>0.00</c:formatCode>
                <c:ptCount val="2"/>
                <c:pt idx="0">
                  <c:v>969</c:v>
                </c:pt>
                <c:pt idx="1">
                  <c:v>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2A-49E6-923B-0E05764A0880}"/>
            </c:ext>
          </c:extLst>
        </c:ser>
        <c:ser>
          <c:idx val="5"/>
          <c:order val="5"/>
          <c:tx>
            <c:v>gep1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A-8E2A-49E6-923B-0E05764A0880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FF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E2A-49E6-923B-0E05764A0880}"/>
              </c:ext>
            </c:extLst>
          </c:dPt>
          <c:xVal>
            <c:numRef>
              <c:f>'OE-DCL'!$H$24:$H$25</c:f>
              <c:numCache>
                <c:formatCode>0.00</c:formatCode>
                <c:ptCount val="2"/>
                <c:pt idx="0">
                  <c:v>1040.48</c:v>
                </c:pt>
                <c:pt idx="1">
                  <c:v>1047.7190000000001</c:v>
                </c:pt>
              </c:numCache>
            </c:numRef>
          </c:xVal>
          <c:yVal>
            <c:numRef>
              <c:f>'OE-DCL'!$G$24:$G$25</c:f>
              <c:numCache>
                <c:formatCode>0.00</c:formatCode>
                <c:ptCount val="2"/>
                <c:pt idx="0">
                  <c:v>989</c:v>
                </c:pt>
                <c:pt idx="1">
                  <c:v>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E2A-49E6-923B-0E05764A0880}"/>
            </c:ext>
          </c:extLst>
        </c:ser>
        <c:ser>
          <c:idx val="6"/>
          <c:order val="6"/>
          <c:tx>
            <c:v>gep2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8E2A-49E6-923B-0E05764A0880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99CC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E2A-49E6-923B-0E05764A0880}"/>
              </c:ext>
            </c:extLst>
          </c:dPt>
          <c:xVal>
            <c:numRef>
              <c:f>'OE-DCL'!$H$25:$H$26</c:f>
              <c:numCache>
                <c:formatCode>0.00</c:formatCode>
                <c:ptCount val="2"/>
                <c:pt idx="0">
                  <c:v>1047.7190000000001</c:v>
                </c:pt>
                <c:pt idx="1">
                  <c:v>1047.7190000000001</c:v>
                </c:pt>
              </c:numCache>
            </c:numRef>
          </c:xVal>
          <c:yVal>
            <c:numRef>
              <c:f>'OE-DCL'!$G$25:$G$26</c:f>
              <c:numCache>
                <c:formatCode>0.00</c:formatCode>
                <c:ptCount val="2"/>
                <c:pt idx="0">
                  <c:v>992</c:v>
                </c:pt>
                <c:pt idx="1">
                  <c:v>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E2A-49E6-923B-0E05764A0880}"/>
            </c:ext>
          </c:extLst>
        </c:ser>
        <c:ser>
          <c:idx val="7"/>
          <c:order val="7"/>
          <c:tx>
            <c:v>fuel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x"/>
              <c:size val="5"/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8E2A-49E6-923B-0E05764A0880}"/>
              </c:ext>
            </c:extLst>
          </c:dPt>
          <c:xVal>
            <c:numRef>
              <c:f>'OE-DCL'!$H$26:$H$27</c:f>
              <c:numCache>
                <c:formatCode>0.00</c:formatCode>
                <c:ptCount val="2"/>
                <c:pt idx="0">
                  <c:v>1047.7190000000001</c:v>
                </c:pt>
                <c:pt idx="1">
                  <c:v>1214.759</c:v>
                </c:pt>
              </c:numCache>
            </c:numRef>
          </c:xVal>
          <c:yVal>
            <c:numRef>
              <c:f>'OE-DCL'!$G$26:$G$27</c:f>
              <c:numCache>
                <c:formatCode>0.00</c:formatCode>
                <c:ptCount val="2"/>
                <c:pt idx="0">
                  <c:v>992</c:v>
                </c:pt>
                <c:pt idx="1">
                  <c:v>1136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E2A-49E6-923B-0E05764A0880}"/>
            </c:ext>
          </c:extLst>
        </c:ser>
        <c:ser>
          <c:idx val="8"/>
          <c:order val="8"/>
          <c:tx>
            <c:v>Takeoff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7"/>
              <c:spPr>
                <a:solidFill>
                  <a:srgbClr val="00CC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8E2A-49E6-923B-0E05764A0880}"/>
              </c:ext>
            </c:extLst>
          </c:dPt>
          <c:xVal>
            <c:numRef>
              <c:f>'OE-DCL'!$H$27:$H$28</c:f>
              <c:numCache>
                <c:formatCode>0.00</c:formatCode>
                <c:ptCount val="2"/>
                <c:pt idx="0">
                  <c:v>1214.759</c:v>
                </c:pt>
                <c:pt idx="1">
                  <c:v>1212.1389200000001</c:v>
                </c:pt>
              </c:numCache>
            </c:numRef>
          </c:xVal>
          <c:yVal>
            <c:numRef>
              <c:f>'OE-DCL'!$G$27:$G$28</c:f>
              <c:numCache>
                <c:formatCode>0.00</c:formatCode>
                <c:ptCount val="2"/>
                <c:pt idx="0">
                  <c:v>1136</c:v>
                </c:pt>
                <c:pt idx="1">
                  <c:v>1133.8399999999999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E2A-49E6-923B-0E05764A0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99176"/>
        <c:axId val="381697608"/>
      </c:scatterChart>
      <c:valAx>
        <c:axId val="381699176"/>
        <c:scaling>
          <c:orientation val="minMax"/>
          <c:max val="1400"/>
          <c:min val="6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7608"/>
        <c:crossesAt val="700"/>
        <c:crossBetween val="midCat"/>
        <c:majorUnit val="100"/>
        <c:minorUnit val="20"/>
      </c:valAx>
      <c:valAx>
        <c:axId val="381697608"/>
        <c:scaling>
          <c:orientation val="minMax"/>
          <c:max val="12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9176"/>
        <c:crossesAt val="600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1450381679573E-2"/>
          <c:y val="5.506613851930172E-2"/>
          <c:w val="0.85305343511450427"/>
          <c:h val="0.8546264698195617"/>
        </c:manualLayout>
      </c:layout>
      <c:scatterChart>
        <c:scatterStyle val="lineMarker"/>
        <c:varyColors val="0"/>
        <c:ser>
          <c:idx val="0"/>
          <c:order val="0"/>
          <c:tx>
            <c:v>fwd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'D-EUTC'!$J$43:$J$45</c:f>
              <c:numCache>
                <c:formatCode>General</c:formatCode>
                <c:ptCount val="3"/>
                <c:pt idx="0">
                  <c:v>622.29999999999995</c:v>
                </c:pt>
                <c:pt idx="1">
                  <c:v>786.76499999999999</c:v>
                </c:pt>
                <c:pt idx="2">
                  <c:v>1205.4780000000001</c:v>
                </c:pt>
              </c:numCache>
            </c:numRef>
          </c:xVal>
          <c:yVal>
            <c:numRef>
              <c:f>'D-EUTC'!$K$43:$K$45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3B-4754-A386-F6E3D55BDD16}"/>
            </c:ext>
          </c:extLst>
        </c:ser>
        <c:ser>
          <c:idx val="1"/>
          <c:order val="1"/>
          <c:tx>
            <c:v>aft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'D-EUTC'!$N$38:$N$40</c:f>
              <c:numCache>
                <c:formatCode>General</c:formatCode>
                <c:ptCount val="3"/>
                <c:pt idx="0">
                  <c:v>840.7</c:v>
                </c:pt>
                <c:pt idx="1">
                  <c:v>1062.885</c:v>
                </c:pt>
                <c:pt idx="2">
                  <c:v>1390.758</c:v>
                </c:pt>
              </c:numCache>
            </c:numRef>
          </c:xVal>
          <c:yVal>
            <c:numRef>
              <c:f>'D-EUTC'!$O$38:$O$40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B-4754-A386-F6E3D55BDD16}"/>
            </c:ext>
          </c:extLst>
        </c:ser>
        <c:ser>
          <c:idx val="2"/>
          <c:order val="2"/>
          <c:tx>
            <c:v>mtow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'D-EUTC'!$J$45:$J$46</c:f>
              <c:numCache>
                <c:formatCode>General</c:formatCode>
                <c:ptCount val="2"/>
                <c:pt idx="0">
                  <c:v>1205.4780000000001</c:v>
                </c:pt>
                <c:pt idx="1">
                  <c:v>1390.758</c:v>
                </c:pt>
              </c:numCache>
            </c:numRef>
          </c:xVal>
          <c:yVal>
            <c:numRef>
              <c:f>'D-EUTC'!$K$45:$K$46</c:f>
              <c:numCache>
                <c:formatCode>General</c:formatCode>
                <c:ptCount val="2"/>
                <c:pt idx="0">
                  <c:v>1158</c:v>
                </c:pt>
                <c:pt idx="1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3B-4754-A386-F6E3D55BDD16}"/>
            </c:ext>
          </c:extLst>
        </c:ser>
        <c:ser>
          <c:idx val="4"/>
          <c:order val="3"/>
          <c:tx>
            <c:v>Pil/Pax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F3B-4754-A386-F6E3D55BDD16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FF00FF"/>
                </a:solidFill>
                <a:ln>
                  <a:solidFill>
                    <a:srgbClr val="FF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F3B-4754-A386-F6E3D55BDD16}"/>
              </c:ext>
            </c:extLst>
          </c:dPt>
          <c:xVal>
            <c:numRef>
              <c:f>'D-EUTC'!$H$22:$H$23</c:f>
              <c:numCache>
                <c:formatCode>0.00</c:formatCode>
                <c:ptCount val="2"/>
                <c:pt idx="0">
                  <c:v>770.9</c:v>
                </c:pt>
                <c:pt idx="1">
                  <c:v>959.47142857142853</c:v>
                </c:pt>
              </c:numCache>
            </c:numRef>
          </c:xVal>
          <c:yVal>
            <c:numRef>
              <c:f>'D-EUTC'!$G$22:$G$23</c:f>
              <c:numCache>
                <c:formatCode>0.00</c:formatCode>
                <c:ptCount val="2"/>
                <c:pt idx="0">
                  <c:v>774.5</c:v>
                </c:pt>
                <c:pt idx="1">
                  <c:v>974.5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3B-4754-A386-F6E3D55BDD16}"/>
            </c:ext>
          </c:extLst>
        </c:ser>
        <c:ser>
          <c:idx val="3"/>
          <c:order val="4"/>
          <c:tx>
            <c:v>Pax_aft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6"/>
              <c:spPr>
                <a:solidFill>
                  <a:srgbClr val="00FF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3B-4754-A386-F6E3D55BDD16}"/>
              </c:ext>
            </c:extLst>
          </c:dPt>
          <c:xVal>
            <c:numRef>
              <c:f>'D-EUTC'!$H$23:$H$24</c:f>
              <c:numCache>
                <c:formatCode>0.00</c:formatCode>
                <c:ptCount val="2"/>
                <c:pt idx="0">
                  <c:v>959.47142857142853</c:v>
                </c:pt>
                <c:pt idx="1">
                  <c:v>959.47142857142853</c:v>
                </c:pt>
              </c:numCache>
            </c:numRef>
          </c:xVal>
          <c:yVal>
            <c:numRef>
              <c:f>'D-EUTC'!$G$23:$G$24</c:f>
              <c:numCache>
                <c:formatCode>0.00</c:formatCode>
                <c:ptCount val="2"/>
                <c:pt idx="0">
                  <c:v>974.5</c:v>
                </c:pt>
                <c:pt idx="1">
                  <c:v>974.5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3B-4754-A386-F6E3D55BDD16}"/>
            </c:ext>
          </c:extLst>
        </c:ser>
        <c:ser>
          <c:idx val="5"/>
          <c:order val="5"/>
          <c:tx>
            <c:v>gep1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A-CF3B-4754-A386-F6E3D55BDD16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FF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F3B-4754-A386-F6E3D55BDD16}"/>
              </c:ext>
            </c:extLst>
          </c:dPt>
          <c:xVal>
            <c:numRef>
              <c:f>'D-EUTC'!$H$24:$H$25</c:f>
              <c:numCache>
                <c:formatCode>0.00</c:formatCode>
                <c:ptCount val="2"/>
                <c:pt idx="0">
                  <c:v>959.47142857142853</c:v>
                </c:pt>
                <c:pt idx="1">
                  <c:v>1007.8924812030075</c:v>
                </c:pt>
              </c:numCache>
            </c:numRef>
          </c:xVal>
          <c:yVal>
            <c:numRef>
              <c:f>'D-EUTC'!$G$24:$G$25</c:f>
              <c:numCache>
                <c:formatCode>0.00</c:formatCode>
                <c:ptCount val="2"/>
                <c:pt idx="0">
                  <c:v>974.5</c:v>
                </c:pt>
                <c:pt idx="1">
                  <c:v>994.5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F3B-4754-A386-F6E3D55BDD16}"/>
            </c:ext>
          </c:extLst>
        </c:ser>
        <c:ser>
          <c:idx val="6"/>
          <c:order val="6"/>
          <c:tx>
            <c:v>gep2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CF3B-4754-A386-F6E3D55BDD16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99CC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F3B-4754-A386-F6E3D55BDD16}"/>
              </c:ext>
            </c:extLst>
          </c:dPt>
          <c:xVal>
            <c:numRef>
              <c:f>'D-EUTC'!$H$25:$H$26</c:f>
              <c:numCache>
                <c:formatCode>0.00</c:formatCode>
                <c:ptCount val="2"/>
                <c:pt idx="0">
                  <c:v>1007.8924812030075</c:v>
                </c:pt>
                <c:pt idx="1">
                  <c:v>1007.8924812030075</c:v>
                </c:pt>
              </c:numCache>
            </c:numRef>
          </c:xVal>
          <c:yVal>
            <c:numRef>
              <c:f>'D-EUTC'!$G$25:$G$26</c:f>
              <c:numCache>
                <c:formatCode>0.00</c:formatCode>
                <c:ptCount val="2"/>
                <c:pt idx="0">
                  <c:v>994.5</c:v>
                </c:pt>
                <c:pt idx="1">
                  <c:v>994.5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F3B-4754-A386-F6E3D55BDD16}"/>
            </c:ext>
          </c:extLst>
        </c:ser>
        <c:ser>
          <c:idx val="7"/>
          <c:order val="7"/>
          <c:tx>
            <c:v>fuel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x"/>
              <c:size val="5"/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CF3B-4754-A386-F6E3D55BDD16}"/>
              </c:ext>
            </c:extLst>
          </c:dPt>
          <c:xVal>
            <c:numRef>
              <c:f>'D-EUTC'!$H$26:$H$27</c:f>
              <c:numCache>
                <c:formatCode>0.00</c:formatCode>
                <c:ptCount val="2"/>
                <c:pt idx="0">
                  <c:v>1007.8924812030075</c:v>
                </c:pt>
                <c:pt idx="1">
                  <c:v>1182.5644812030075</c:v>
                </c:pt>
              </c:numCache>
            </c:numRef>
          </c:xVal>
          <c:yVal>
            <c:numRef>
              <c:f>'D-EUTC'!$G$26:$G$27</c:f>
              <c:numCache>
                <c:formatCode>0.00</c:formatCode>
                <c:ptCount val="2"/>
                <c:pt idx="0">
                  <c:v>994.5</c:v>
                </c:pt>
                <c:pt idx="1">
                  <c:v>1138.5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F3B-4754-A386-F6E3D55BDD16}"/>
            </c:ext>
          </c:extLst>
        </c:ser>
        <c:ser>
          <c:idx val="8"/>
          <c:order val="8"/>
          <c:tx>
            <c:v>Takeoff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7"/>
              <c:spPr>
                <a:solidFill>
                  <a:srgbClr val="00CC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CF3B-4754-A386-F6E3D55BDD16}"/>
              </c:ext>
            </c:extLst>
          </c:dPt>
          <c:xVal>
            <c:numRef>
              <c:f>'D-EUTC'!$H$27:$H$28</c:f>
              <c:numCache>
                <c:formatCode>0.00</c:formatCode>
                <c:ptCount val="2"/>
                <c:pt idx="0">
                  <c:v>1182.5644812030075</c:v>
                </c:pt>
                <c:pt idx="1">
                  <c:v>1178.1976812030075</c:v>
                </c:pt>
              </c:numCache>
            </c:numRef>
          </c:xVal>
          <c:yVal>
            <c:numRef>
              <c:f>'D-EUTC'!$G$27:$G$28</c:f>
              <c:numCache>
                <c:formatCode>0.00</c:formatCode>
                <c:ptCount val="2"/>
                <c:pt idx="0">
                  <c:v>1138.5</c:v>
                </c:pt>
                <c:pt idx="1">
                  <c:v>1134.9000000000001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F3B-4754-A386-F6E3D55BD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702704"/>
        <c:axId val="381703096"/>
      </c:scatterChart>
      <c:valAx>
        <c:axId val="381702704"/>
        <c:scaling>
          <c:orientation val="minMax"/>
          <c:max val="1400"/>
          <c:min val="6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3096"/>
        <c:crossesAt val="700"/>
        <c:crossBetween val="midCat"/>
        <c:majorUnit val="100"/>
        <c:minorUnit val="20"/>
      </c:valAx>
      <c:valAx>
        <c:axId val="381703096"/>
        <c:scaling>
          <c:orientation val="minMax"/>
          <c:max val="12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2704"/>
        <c:crossesAt val="600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de-AT" sz="1300" b="0" strike="noStrike" spc="-1">
                <a:latin typeface="Arial"/>
              </a:rPr>
              <a:t>Center of Gravity Chart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'OE-KCS'!$G$29</c:f>
              <c:strCache>
                <c:ptCount val="1"/>
                <c:pt idx="0">
                  <c:v>CG Takeoff</c:v>
                </c:pt>
              </c:strCache>
            </c:strRef>
          </c:tx>
          <c:spPr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'OE-KCS'!$E$30:$E$48</c:f>
              <c:numCache>
                <c:formatCode>0.0</c:formatCode>
                <c:ptCount val="1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35.799999999999997</c:v>
                </c:pt>
                <c:pt idx="5">
                  <c:v>39</c:v>
                </c:pt>
                <c:pt idx="6">
                  <c:v>41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1">
                  <c:v>39.968000000000004</c:v>
                </c:pt>
                <c:pt idx="12">
                  <c:v>40.799999999999997</c:v>
                </c:pt>
                <c:pt idx="13">
                  <c:v>40.442955312810319</c:v>
                </c:pt>
                <c:pt idx="14">
                  <c:v>42.417900611498297</c:v>
                </c:pt>
                <c:pt idx="15">
                  <c:v>42.816510755609748</c:v>
                </c:pt>
                <c:pt idx="16">
                  <c:v>43.347091052631583</c:v>
                </c:pt>
                <c:pt idx="17">
                  <c:v>43.963604916983449</c:v>
                </c:pt>
                <c:pt idx="18">
                  <c:v>43.913604916983452</c:v>
                </c:pt>
              </c:numCache>
            </c:numRef>
          </c:xVal>
          <c:yVal>
            <c:numRef>
              <c:f>'OE-KCS'!$G$30:$G$39</c:f>
              <c:numCache>
                <c:formatCode>General</c:formatCode>
                <c:ptCount val="10"/>
                <c:pt idx="0">
                  <c:v>1900</c:v>
                </c:pt>
                <c:pt idx="1">
                  <c:v>2250</c:v>
                </c:pt>
                <c:pt idx="4">
                  <c:v>2700</c:v>
                </c:pt>
                <c:pt idx="6">
                  <c:v>3100</c:v>
                </c:pt>
                <c:pt idx="7">
                  <c:v>3100</c:v>
                </c:pt>
                <c:pt idx="9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6-4636-AF48-4A231143A6FC}"/>
            </c:ext>
          </c:extLst>
        </c:ser>
        <c:ser>
          <c:idx val="0"/>
          <c:order val="1"/>
          <c:tx>
            <c:strRef>
              <c:f>'OE-KCS'!$F$29</c:f>
              <c:strCache>
                <c:ptCount val="1"/>
                <c:pt idx="0">
                  <c:v>CG Landing</c:v>
                </c:pt>
              </c:strCache>
            </c:strRef>
          </c:tx>
          <c:spPr>
            <a:ln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'OE-KCS'!$E$30:$E$48</c:f>
              <c:numCache>
                <c:formatCode>0.0</c:formatCode>
                <c:ptCount val="1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35.799999999999997</c:v>
                </c:pt>
                <c:pt idx="5">
                  <c:v>39</c:v>
                </c:pt>
                <c:pt idx="6">
                  <c:v>41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1">
                  <c:v>39.968000000000004</c:v>
                </c:pt>
                <c:pt idx="12">
                  <c:v>40.799999999999997</c:v>
                </c:pt>
                <c:pt idx="13">
                  <c:v>40.442955312810319</c:v>
                </c:pt>
                <c:pt idx="14">
                  <c:v>42.417900611498297</c:v>
                </c:pt>
                <c:pt idx="15">
                  <c:v>42.816510755609748</c:v>
                </c:pt>
                <c:pt idx="16">
                  <c:v>43.347091052631583</c:v>
                </c:pt>
                <c:pt idx="17">
                  <c:v>43.963604916983449</c:v>
                </c:pt>
                <c:pt idx="18">
                  <c:v>43.913604916983452</c:v>
                </c:pt>
              </c:numCache>
            </c:numRef>
          </c:xVal>
          <c:yVal>
            <c:numRef>
              <c:f>'OE-KCS'!$F$30:$F$39</c:f>
              <c:numCache>
                <c:formatCode>General</c:formatCode>
                <c:ptCount val="10"/>
                <c:pt idx="0">
                  <c:v>1900</c:v>
                </c:pt>
                <c:pt idx="1">
                  <c:v>2250</c:v>
                </c:pt>
                <c:pt idx="4">
                  <c:v>2700</c:v>
                </c:pt>
                <c:pt idx="5">
                  <c:v>2945</c:v>
                </c:pt>
                <c:pt idx="8">
                  <c:v>2950</c:v>
                </c:pt>
                <c:pt idx="9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6-4636-AF48-4A231143A6FC}"/>
            </c:ext>
          </c:extLst>
        </c:ser>
        <c:ser>
          <c:idx val="2"/>
          <c:order val="2"/>
          <c:tx>
            <c:strRef>
              <c:f>'OE-KCS'!$H$29</c:f>
              <c:strCache>
                <c:ptCount val="1"/>
                <c:pt idx="0">
                  <c:v>Autopilot use prohibited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xVal>
            <c:numRef>
              <c:f>'OE-KCS'!$E$30:$E$48</c:f>
              <c:numCache>
                <c:formatCode>0.0</c:formatCode>
                <c:ptCount val="1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35.799999999999997</c:v>
                </c:pt>
                <c:pt idx="5">
                  <c:v>39</c:v>
                </c:pt>
                <c:pt idx="6">
                  <c:v>41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1">
                  <c:v>39.968000000000004</c:v>
                </c:pt>
                <c:pt idx="12">
                  <c:v>40.799999999999997</c:v>
                </c:pt>
                <c:pt idx="13">
                  <c:v>40.442955312810319</c:v>
                </c:pt>
                <c:pt idx="14">
                  <c:v>42.417900611498297</c:v>
                </c:pt>
                <c:pt idx="15">
                  <c:v>42.816510755609748</c:v>
                </c:pt>
                <c:pt idx="16">
                  <c:v>43.347091052631583</c:v>
                </c:pt>
                <c:pt idx="17">
                  <c:v>43.963604916983449</c:v>
                </c:pt>
                <c:pt idx="18">
                  <c:v>43.913604916983452</c:v>
                </c:pt>
              </c:numCache>
            </c:numRef>
          </c:xVal>
          <c:yVal>
            <c:numRef>
              <c:f>'OE-KCS'!$H$30:$H$48</c:f>
              <c:numCache>
                <c:formatCode>General</c:formatCode>
                <c:ptCount val="19"/>
                <c:pt idx="0">
                  <c:v>1900</c:v>
                </c:pt>
                <c:pt idx="1">
                  <c:v>2250</c:v>
                </c:pt>
                <c:pt idx="2">
                  <c:v>2413.5</c:v>
                </c:pt>
                <c:pt idx="3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52-44B0-BFA7-A498AED22B74}"/>
            </c:ext>
          </c:extLst>
        </c:ser>
        <c:ser>
          <c:idx val="3"/>
          <c:order val="3"/>
          <c:tx>
            <c:strRef>
              <c:f>'OE-KCS'!$J$29</c:f>
              <c:strCache>
                <c:ptCount val="1"/>
                <c:pt idx="0">
                  <c:v>Usable Fuel (-Taxi)</c:v>
                </c:pt>
              </c:strCache>
            </c:strRef>
          </c:tx>
          <c:spPr>
            <a:ln w="288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'OE-KCS'!$E$41:$E$42</c:f>
              <c:numCache>
                <c:formatCode>0.0</c:formatCode>
                <c:ptCount val="2"/>
                <c:pt idx="0">
                  <c:v>39.968000000000004</c:v>
                </c:pt>
                <c:pt idx="1">
                  <c:v>40.799999999999997</c:v>
                </c:pt>
              </c:numCache>
            </c:numRef>
          </c:xVal>
          <c:yVal>
            <c:numRef>
              <c:f>'OE-KCS'!$J$41:$J$42</c:f>
              <c:numCache>
                <c:formatCode>0.0</c:formatCode>
                <c:ptCount val="2"/>
                <c:pt idx="0">
                  <c:v>2037.6</c:v>
                </c:pt>
                <c:pt idx="1">
                  <c:v>2413.88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F6-4636-AF48-4A231143A6FC}"/>
            </c:ext>
          </c:extLst>
        </c:ser>
        <c:ser>
          <c:idx val="4"/>
          <c:order val="4"/>
          <c:tx>
            <c:strRef>
              <c:f>'OE-KCS'!$K$29</c:f>
              <c:strCache>
                <c:ptCount val="1"/>
                <c:pt idx="0">
                  <c:v>Pilot and Front Passanger</c:v>
                </c:pt>
              </c:strCache>
            </c:strRef>
          </c:tx>
          <c:spPr>
            <a:ln w="288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'OE-KCS'!$E$42:$E$43</c:f>
              <c:numCache>
                <c:formatCode>0.0</c:formatCode>
                <c:ptCount val="2"/>
                <c:pt idx="0">
                  <c:v>40.799999999999997</c:v>
                </c:pt>
                <c:pt idx="1">
                  <c:v>40.442955312810319</c:v>
                </c:pt>
              </c:numCache>
            </c:numRef>
          </c:xVal>
          <c:yVal>
            <c:numRef>
              <c:f>'OE-KCS'!$K$42:$K$43</c:f>
              <c:numCache>
                <c:formatCode>0.0</c:formatCode>
                <c:ptCount val="2"/>
                <c:pt idx="0">
                  <c:v>2413.88</c:v>
                </c:pt>
                <c:pt idx="1">
                  <c:v>2810.6000000000004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F6-4636-AF48-4A231143A6FC}"/>
            </c:ext>
          </c:extLst>
        </c:ser>
        <c:ser>
          <c:idx val="5"/>
          <c:order val="5"/>
          <c:tx>
            <c:strRef>
              <c:f>'OE-KCS'!$L$29</c:f>
              <c:strCache>
                <c:ptCount val="1"/>
                <c:pt idx="0">
                  <c:v>Rear Passangers</c:v>
                </c:pt>
              </c:strCache>
            </c:strRef>
          </c:tx>
          <c:spPr>
            <a:ln w="288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'OE-KCS'!$E$43:$E$44</c:f>
              <c:numCache>
                <c:formatCode>0.0</c:formatCode>
                <c:ptCount val="2"/>
                <c:pt idx="0">
                  <c:v>40.442955312810319</c:v>
                </c:pt>
                <c:pt idx="1">
                  <c:v>42.417900611498297</c:v>
                </c:pt>
              </c:numCache>
            </c:numRef>
          </c:xVal>
          <c:yVal>
            <c:numRef>
              <c:f>'OE-KCS'!$L$43:$L$44</c:f>
              <c:numCache>
                <c:formatCode>0.0</c:formatCode>
                <c:ptCount val="2"/>
                <c:pt idx="0">
                  <c:v>2810.6000000000004</c:v>
                </c:pt>
                <c:pt idx="1">
                  <c:v>2986.9200000000005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F6-4636-AF48-4A231143A6FC}"/>
            </c:ext>
          </c:extLst>
        </c:ser>
        <c:ser>
          <c:idx val="6"/>
          <c:order val="6"/>
          <c:tx>
            <c:strRef>
              <c:f>'OE-KCS'!$M$29</c:f>
              <c:strCache>
                <c:ptCount val="1"/>
                <c:pt idx="0">
                  <c:v>Baggage A</c:v>
                </c:pt>
              </c:strCache>
            </c:strRef>
          </c:tx>
          <c:spPr>
            <a:ln w="288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'OE-KCS'!$E$44:$E$45</c:f>
              <c:numCache>
                <c:formatCode>0.0</c:formatCode>
                <c:ptCount val="2"/>
                <c:pt idx="0">
                  <c:v>42.417900611498297</c:v>
                </c:pt>
                <c:pt idx="1">
                  <c:v>42.816510755609748</c:v>
                </c:pt>
              </c:numCache>
            </c:numRef>
          </c:xVal>
          <c:yVal>
            <c:numRef>
              <c:f>'OE-KCS'!$M$44:$M$45</c:f>
              <c:numCache>
                <c:formatCode>0.0</c:formatCode>
                <c:ptCount val="2"/>
                <c:pt idx="0">
                  <c:v>2986.9200000000005</c:v>
                </c:pt>
                <c:pt idx="1">
                  <c:v>3008.9600000000005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F6-4636-AF48-4A231143A6FC}"/>
            </c:ext>
          </c:extLst>
        </c:ser>
        <c:ser>
          <c:idx val="7"/>
          <c:order val="7"/>
          <c:tx>
            <c:strRef>
              <c:f>'OE-KCS'!$N$29</c:f>
              <c:strCache>
                <c:ptCount val="1"/>
                <c:pt idx="0">
                  <c:v>Baggage B</c:v>
                </c:pt>
              </c:strCache>
            </c:strRef>
          </c:tx>
          <c:spPr>
            <a:ln w="2880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'OE-KCS'!$E$45:$E$46</c:f>
              <c:numCache>
                <c:formatCode>0.0</c:formatCode>
                <c:ptCount val="2"/>
                <c:pt idx="0">
                  <c:v>42.816510755609748</c:v>
                </c:pt>
                <c:pt idx="1">
                  <c:v>43.347091052631583</c:v>
                </c:pt>
              </c:numCache>
            </c:numRef>
          </c:xVal>
          <c:yVal>
            <c:numRef>
              <c:f>'OE-KCS'!$N$45:$N$46</c:f>
              <c:numCache>
                <c:formatCode>0.0</c:formatCode>
                <c:ptCount val="2"/>
                <c:pt idx="0">
                  <c:v>3008.9600000000005</c:v>
                </c:pt>
                <c:pt idx="1">
                  <c:v>3031.0000000000005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F6-4636-AF48-4A231143A6FC}"/>
            </c:ext>
          </c:extLst>
        </c:ser>
        <c:ser>
          <c:idx val="8"/>
          <c:order val="8"/>
          <c:tx>
            <c:strRef>
              <c:f>'OE-KCS'!$O$29</c:f>
              <c:strCache>
                <c:ptCount val="1"/>
                <c:pt idx="0">
                  <c:v>Baggage C</c:v>
                </c:pt>
              </c:strCache>
            </c:strRef>
          </c:tx>
          <c:spPr>
            <a:ln w="28800">
              <a:solidFill>
                <a:srgbClr val="88888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'OE-KCS'!$E$46:$E$47</c:f>
              <c:numCache>
                <c:formatCode>0.0</c:formatCode>
                <c:ptCount val="2"/>
                <c:pt idx="0">
                  <c:v>43.347091052631583</c:v>
                </c:pt>
                <c:pt idx="1">
                  <c:v>43.963604916983449</c:v>
                </c:pt>
              </c:numCache>
            </c:numRef>
          </c:xVal>
          <c:yVal>
            <c:numRef>
              <c:f>'OE-KCS'!$O$46:$O$47</c:f>
              <c:numCache>
                <c:formatCode>0.0</c:formatCode>
                <c:ptCount val="2"/>
                <c:pt idx="0">
                  <c:v>3031.0000000000005</c:v>
                </c:pt>
                <c:pt idx="1">
                  <c:v>3053.0400000000004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F6-4636-AF48-4A231143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78172"/>
        <c:axId val="65179001"/>
        <c:extLst/>
      </c:scatterChart>
      <c:valAx>
        <c:axId val="74378172"/>
        <c:scaling>
          <c:orientation val="minMax"/>
          <c:max val="48"/>
          <c:min val="32"/>
        </c:scaling>
        <c:delete val="0"/>
        <c:axPos val="b"/>
        <c:majorGridlines>
          <c:spPr>
            <a:ln w="12700"/>
          </c:spPr>
        </c:majorGridlines>
        <c:minorGridlines>
          <c:spPr>
            <a:ln w="6350">
              <a:solidFill>
                <a:schemeClr val="tx1">
                  <a:tint val="50000"/>
                  <a:shade val="95000"/>
                  <a:satMod val="105000"/>
                </a:schemeClr>
              </a:solidFill>
              <a:prstDash val="dash"/>
            </a:ln>
          </c:spPr>
        </c:minorGridlines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AT" sz="900" b="0" strike="noStrike" spc="-1">
                    <a:latin typeface="Arial"/>
                  </a:rPr>
                  <a:t>Center of Gravity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65179001"/>
        <c:crosses val="autoZero"/>
        <c:crossBetween val="midCat"/>
        <c:majorUnit val="2"/>
        <c:minorUnit val="1"/>
      </c:valAx>
      <c:valAx>
        <c:axId val="65179001"/>
        <c:scaling>
          <c:orientation val="minMax"/>
          <c:max val="3200"/>
          <c:min val="1900"/>
        </c:scaling>
        <c:delete val="0"/>
        <c:axPos val="l"/>
        <c:majorGridlines>
          <c:spPr>
            <a:ln w="12700">
              <a:solidFill>
                <a:srgbClr val="B3B3B3"/>
              </a:solidFill>
            </a:ln>
          </c:spPr>
        </c:majorGridlines>
        <c:minorGridlines>
          <c:spPr>
            <a:ln w="6350">
              <a:solidFill>
                <a:srgbClr val="DDDDDD"/>
              </a:solidFill>
              <a:prstDash val="dash"/>
            </a:ln>
          </c:spPr>
        </c:min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AT" sz="900" b="0" strike="noStrike" spc="-1">
                    <a:latin typeface="Arial"/>
                  </a:rPr>
                  <a:t>Weight [lbs]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74378172"/>
        <c:crossesAt val="0"/>
        <c:crossBetween val="midCat"/>
        <c:majorUnit val="100"/>
        <c:minorUnit val="50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de-DE"/>
        </a:p>
      </c:txPr>
    </c:legend>
    <c:plotVisOnly val="1"/>
    <c:dispBlanksAs val="span"/>
    <c:showDLblsOverMax val="1"/>
  </c:chart>
  <c:spPr>
    <a:solidFill>
      <a:srgbClr val="FFFFFF"/>
    </a:solidFill>
    <a:ln w="0"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G$8" max="30000" page="10" val="90"/>
</file>

<file path=xl/ctrlProps/ctrlProp10.xml><?xml version="1.0" encoding="utf-8"?>
<formControlPr xmlns="http://schemas.microsoft.com/office/spreadsheetml/2009/9/main" objectType="Spin" dx="16" fmlaLink="$D$12" max="200" page="10" val="200"/>
</file>

<file path=xl/ctrlProps/ctrlProp11.xml><?xml version="1.0" encoding="utf-8"?>
<formControlPr xmlns="http://schemas.microsoft.com/office/spreadsheetml/2009/9/main" objectType="Spin" dx="16" fmlaLink="$D$14" max="30000" page="10" val="3"/>
</file>

<file path=xl/ctrlProps/ctrlProp12.xml><?xml version="1.0" encoding="utf-8"?>
<formControlPr xmlns="http://schemas.microsoft.com/office/spreadsheetml/2009/9/main" objectType="Spin" dx="16" fmlaLink="$G$7" max="200" page="10" val="180"/>
</file>

<file path=xl/ctrlProps/ctrlProp13.xml><?xml version="1.0" encoding="utf-8"?>
<formControlPr xmlns="http://schemas.microsoft.com/office/spreadsheetml/2009/9/main" objectType="Spin" dx="16" fmlaLink="$G$8" max="30000" page="10" val="0"/>
</file>

<file path=xl/ctrlProps/ctrlProp14.xml><?xml version="1.0" encoding="utf-8"?>
<formControlPr xmlns="http://schemas.microsoft.com/office/spreadsheetml/2009/9/main" objectType="Spin" dx="16" fmlaLink="$G$9" max="30000" page="10" val="20"/>
</file>

<file path=xl/ctrlProps/ctrlProp15.xml><?xml version="1.0" encoding="utf-8"?>
<formControlPr xmlns="http://schemas.microsoft.com/office/spreadsheetml/2009/9/main" objectType="Spin" dx="16" fmlaLink="$G$10" max="30000" page="10" val="0"/>
</file>

<file path=xl/ctrlProps/ctrlProp16.xml><?xml version="1.0" encoding="utf-8"?>
<formControlPr xmlns="http://schemas.microsoft.com/office/spreadsheetml/2009/9/main" objectType="Spin" dx="16" fmlaLink="$D$12" max="200" page="10" val="200"/>
</file>

<file path=xl/ctrlProps/ctrlProp17.xml><?xml version="1.0" encoding="utf-8"?>
<formControlPr xmlns="http://schemas.microsoft.com/office/spreadsheetml/2009/9/main" objectType="Spin" dx="16" fmlaLink="$D$14" max="30000" page="10" val="5"/>
</file>

<file path=xl/ctrlProps/ctrlProp18.xml><?xml version="1.0" encoding="utf-8"?>
<formControlPr xmlns="http://schemas.microsoft.com/office/spreadsheetml/2009/9/main" objectType="Spin" dx="16" fmlaLink="$G$7" max="200" page="10" val="200"/>
</file>

<file path=xl/ctrlProps/ctrlProp2.xml><?xml version="1.0" encoding="utf-8"?>
<formControlPr xmlns="http://schemas.microsoft.com/office/spreadsheetml/2009/9/main" objectType="Spin" dx="16" fmlaLink="$G$9" max="30000" page="10" val="2"/>
</file>

<file path=xl/ctrlProps/ctrlProp3.xml><?xml version="1.0" encoding="utf-8"?>
<formControlPr xmlns="http://schemas.microsoft.com/office/spreadsheetml/2009/9/main" objectType="Spin" dx="16" fmlaLink="$G$10" max="30000" page="10" val="0"/>
</file>

<file path=xl/ctrlProps/ctrlProp4.xml><?xml version="1.0" encoding="utf-8"?>
<formControlPr xmlns="http://schemas.microsoft.com/office/spreadsheetml/2009/9/main" objectType="Spin" dx="16" fmlaLink="$D$12" max="200" page="10" val="47"/>
</file>

<file path=xl/ctrlProps/ctrlProp5.xml><?xml version="1.0" encoding="utf-8"?>
<formControlPr xmlns="http://schemas.microsoft.com/office/spreadsheetml/2009/9/main" objectType="Spin" dx="16" fmlaLink="$D$14" max="30000" page="10" val="3"/>
</file>

<file path=xl/ctrlProps/ctrlProp6.xml><?xml version="1.0" encoding="utf-8"?>
<formControlPr xmlns="http://schemas.microsoft.com/office/spreadsheetml/2009/9/main" objectType="Spin" dx="16" fmlaLink="$G$7" max="200" page="10" val="91"/>
</file>

<file path=xl/ctrlProps/ctrlProp7.xml><?xml version="1.0" encoding="utf-8"?>
<formControlPr xmlns="http://schemas.microsoft.com/office/spreadsheetml/2009/9/main" objectType="Spin" dx="16" fmlaLink="$G$8" max="30000" page="10" val="20"/>
</file>

<file path=xl/ctrlProps/ctrlProp8.xml><?xml version="1.0" encoding="utf-8"?>
<formControlPr xmlns="http://schemas.microsoft.com/office/spreadsheetml/2009/9/main" objectType="Spin" dx="16" fmlaLink="$G$9" max="30000" page="10" val="3"/>
</file>

<file path=xl/ctrlProps/ctrlProp9.xml><?xml version="1.0" encoding="utf-8"?>
<formControlPr xmlns="http://schemas.microsoft.com/office/spreadsheetml/2009/9/main" objectType="Spin" dx="16" fmlaLink="$G$10" max="30000" page="10" val="0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</xdr:row>
          <xdr:rowOff>28575</xdr:rowOff>
        </xdr:from>
        <xdr:to>
          <xdr:col>4</xdr:col>
          <xdr:colOff>514350</xdr:colOff>
          <xdr:row>7</xdr:row>
          <xdr:rowOff>333375</xdr:rowOff>
        </xdr:to>
        <xdr:sp macro="" textlink="">
          <xdr:nvSpPr>
            <xdr:cNvPr id="113671" name="Spinner 7" hidden="1">
              <a:extLst>
                <a:ext uri="{63B3BB69-23CF-44E3-9099-C40C66FF867C}">
                  <a14:compatExt spid="_x0000_s113671"/>
                </a:ext>
                <a:ext uri="{FF2B5EF4-FFF2-40B4-BE49-F238E27FC236}">
                  <a16:creationId xmlns:a16="http://schemas.microsoft.com/office/drawing/2014/main" id="{00000000-0008-0000-0000-000007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9525</xdr:rowOff>
        </xdr:from>
        <xdr:to>
          <xdr:col>4</xdr:col>
          <xdr:colOff>504825</xdr:colOff>
          <xdr:row>8</xdr:row>
          <xdr:rowOff>314325</xdr:rowOff>
        </xdr:to>
        <xdr:sp macro="" textlink="">
          <xdr:nvSpPr>
            <xdr:cNvPr id="113672" name="Spinner 8" hidden="1">
              <a:extLst>
                <a:ext uri="{63B3BB69-23CF-44E3-9099-C40C66FF867C}">
                  <a14:compatExt spid="_x0000_s113672"/>
                </a:ext>
                <a:ext uri="{FF2B5EF4-FFF2-40B4-BE49-F238E27FC236}">
                  <a16:creationId xmlns:a16="http://schemas.microsoft.com/office/drawing/2014/main" id="{00000000-0008-0000-0000-000008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4</xdr:col>
          <xdr:colOff>495300</xdr:colOff>
          <xdr:row>9</xdr:row>
          <xdr:rowOff>314325</xdr:rowOff>
        </xdr:to>
        <xdr:sp macro="" textlink="">
          <xdr:nvSpPr>
            <xdr:cNvPr id="113673" name="Spinner 9" hidden="1">
              <a:extLst>
                <a:ext uri="{63B3BB69-23CF-44E3-9099-C40C66FF867C}">
                  <a14:compatExt spid="_x0000_s113673"/>
                </a:ext>
                <a:ext uri="{FF2B5EF4-FFF2-40B4-BE49-F238E27FC236}">
                  <a16:creationId xmlns:a16="http://schemas.microsoft.com/office/drawing/2014/main" id="{00000000-0008-0000-0000-000009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11</xdr:row>
          <xdr:rowOff>28575</xdr:rowOff>
        </xdr:from>
        <xdr:to>
          <xdr:col>4</xdr:col>
          <xdr:colOff>514350</xdr:colOff>
          <xdr:row>11</xdr:row>
          <xdr:rowOff>371475</xdr:rowOff>
        </xdr:to>
        <xdr:sp macro="" textlink="">
          <xdr:nvSpPr>
            <xdr:cNvPr id="113674" name="Spinner 10" hidden="1">
              <a:extLst>
                <a:ext uri="{63B3BB69-23CF-44E3-9099-C40C66FF867C}">
                  <a14:compatExt spid="_x0000_s113674"/>
                </a:ext>
                <a:ext uri="{FF2B5EF4-FFF2-40B4-BE49-F238E27FC236}">
                  <a16:creationId xmlns:a16="http://schemas.microsoft.com/office/drawing/2014/main" id="{00000000-0008-0000-0000-00000A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</xdr:row>
          <xdr:rowOff>28575</xdr:rowOff>
        </xdr:from>
        <xdr:to>
          <xdr:col>4</xdr:col>
          <xdr:colOff>504825</xdr:colOff>
          <xdr:row>13</xdr:row>
          <xdr:rowOff>409575</xdr:rowOff>
        </xdr:to>
        <xdr:sp macro="" textlink="">
          <xdr:nvSpPr>
            <xdr:cNvPr id="113675" name="Spinner 11" hidden="1">
              <a:extLst>
                <a:ext uri="{63B3BB69-23CF-44E3-9099-C40C66FF867C}">
                  <a14:compatExt spid="_x0000_s113675"/>
                </a:ext>
                <a:ext uri="{FF2B5EF4-FFF2-40B4-BE49-F238E27FC236}">
                  <a16:creationId xmlns:a16="http://schemas.microsoft.com/office/drawing/2014/main" id="{00000000-0008-0000-0000-00000B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4</xdr:col>
          <xdr:colOff>514350</xdr:colOff>
          <xdr:row>6</xdr:row>
          <xdr:rowOff>333375</xdr:rowOff>
        </xdr:to>
        <xdr:sp macro="" textlink="">
          <xdr:nvSpPr>
            <xdr:cNvPr id="113676" name="Spinner 12" hidden="1">
              <a:extLst>
                <a:ext uri="{63B3BB69-23CF-44E3-9099-C40C66FF867C}">
                  <a14:compatExt spid="_x0000_s113676"/>
                </a:ext>
                <a:ext uri="{FF2B5EF4-FFF2-40B4-BE49-F238E27FC236}">
                  <a16:creationId xmlns:a16="http://schemas.microsoft.com/office/drawing/2014/main" id="{00000000-0008-0000-0000-00000C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4</xdr:row>
      <xdr:rowOff>9525</xdr:rowOff>
    </xdr:from>
    <xdr:to>
      <xdr:col>20</xdr:col>
      <xdr:colOff>266699</xdr:colOff>
      <xdr:row>18</xdr:row>
      <xdr:rowOff>142875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1</xdr:row>
      <xdr:rowOff>1</xdr:rowOff>
    </xdr:from>
    <xdr:to>
      <xdr:col>11</xdr:col>
      <xdr:colOff>742949</xdr:colOff>
      <xdr:row>22</xdr:row>
      <xdr:rowOff>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0.4899</cdr:x>
      <cdr:y>0.88016</cdr:y>
    </cdr:from>
    <cdr:to>
      <cdr:x>0.82482</cdr:x>
      <cdr:y>0.93807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225803" y="4024092"/>
          <a:ext cx="1521684" cy="264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Hebelarm (m)</a:t>
          </a:r>
        </a:p>
      </cdr:txBody>
    </cdr:sp>
  </cdr:relSizeAnchor>
  <cdr:relSizeAnchor xmlns:cdr="http://schemas.openxmlformats.org/drawingml/2006/chartDrawing">
    <cdr:from>
      <cdr:x>0.40618</cdr:x>
      <cdr:y>0.47884</cdr:y>
    </cdr:from>
    <cdr:to>
      <cdr:x>0.85986</cdr:x>
      <cdr:y>0.57461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628775" y="2047876"/>
          <a:ext cx="18192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0.04486</cdr:x>
      <cdr:y>0.35625</cdr:y>
    </cdr:from>
    <cdr:to>
      <cdr:x>0.12324</cdr:x>
      <cdr:y>0.57928</cdr:y>
    </cdr:to>
    <cdr:sp macro="" textlink="">
      <cdr:nvSpPr>
        <cdr:cNvPr id="5" name="Textfeld 4"/>
        <cdr:cNvSpPr txBox="1"/>
      </cdr:nvSpPr>
      <cdr:spPr>
        <a:xfrm xmlns:a="http://schemas.openxmlformats.org/drawingml/2006/main" rot="16200000">
          <a:off x="-127994" y="1960572"/>
          <a:ext cx="1019709" cy="356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Gewicht (Kg)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</xdr:row>
      <xdr:rowOff>1</xdr:rowOff>
    </xdr:from>
    <xdr:to>
      <xdr:col>10</xdr:col>
      <xdr:colOff>723899</xdr:colOff>
      <xdr:row>22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0.4899</cdr:x>
      <cdr:y>0.88016</cdr:y>
    </cdr:from>
    <cdr:to>
      <cdr:x>0.82482</cdr:x>
      <cdr:y>0.93807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225803" y="4024092"/>
          <a:ext cx="1521684" cy="264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Hebelarm (m)</a:t>
          </a:r>
        </a:p>
      </cdr:txBody>
    </cdr:sp>
  </cdr:relSizeAnchor>
  <cdr:relSizeAnchor xmlns:cdr="http://schemas.openxmlformats.org/drawingml/2006/chartDrawing">
    <cdr:from>
      <cdr:x>0.40618</cdr:x>
      <cdr:y>0.47884</cdr:y>
    </cdr:from>
    <cdr:to>
      <cdr:x>0.85986</cdr:x>
      <cdr:y>0.57461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628775" y="2047876"/>
          <a:ext cx="18192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0.04486</cdr:x>
      <cdr:y>0.35625</cdr:y>
    </cdr:from>
    <cdr:to>
      <cdr:x>0.12324</cdr:x>
      <cdr:y>0.57928</cdr:y>
    </cdr:to>
    <cdr:sp macro="" textlink="">
      <cdr:nvSpPr>
        <cdr:cNvPr id="5" name="Textfeld 4"/>
        <cdr:cNvSpPr txBox="1"/>
      </cdr:nvSpPr>
      <cdr:spPr>
        <a:xfrm xmlns:a="http://schemas.openxmlformats.org/drawingml/2006/main" rot="16200000">
          <a:off x="-127994" y="1960572"/>
          <a:ext cx="1019709" cy="356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Gewicht (Kg)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0</xdr:rowOff>
    </xdr:from>
    <xdr:to>
      <xdr:col>14</xdr:col>
      <xdr:colOff>9525</xdr:colOff>
      <xdr:row>17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0.38717</cdr:x>
      <cdr:y>0.91039</cdr:y>
    </cdr:from>
    <cdr:to>
      <cdr:x>0.72209</cdr:x>
      <cdr:y>0.9683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762766" y="3616004"/>
          <a:ext cx="1524874" cy="230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Inches aft of Datum</a:t>
          </a:r>
        </a:p>
      </cdr:txBody>
    </cdr:sp>
  </cdr:relSizeAnchor>
  <cdr:relSizeAnchor xmlns:cdr="http://schemas.openxmlformats.org/drawingml/2006/chartDrawing">
    <cdr:from>
      <cdr:x>0.40618</cdr:x>
      <cdr:y>0.47884</cdr:y>
    </cdr:from>
    <cdr:to>
      <cdr:x>0.85986</cdr:x>
      <cdr:y>0.57461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628775" y="2047876"/>
          <a:ext cx="18192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0.02602</cdr:x>
      <cdr:y>0.32089</cdr:y>
    </cdr:from>
    <cdr:to>
      <cdr:x>0.1044</cdr:x>
      <cdr:y>0.6171</cdr:y>
    </cdr:to>
    <cdr:sp macro="" textlink="">
      <cdr:nvSpPr>
        <cdr:cNvPr id="5" name="Textfeld 4"/>
        <cdr:cNvSpPr txBox="1"/>
      </cdr:nvSpPr>
      <cdr:spPr>
        <a:xfrm xmlns:a="http://schemas.openxmlformats.org/drawingml/2006/main" rot="16200000">
          <a:off x="-291348" y="1684375"/>
          <a:ext cx="1176524" cy="356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Weight</a:t>
          </a:r>
          <a:r>
            <a:rPr lang="de-AT" sz="1100" baseline="0"/>
            <a:t> - Pounds</a:t>
          </a:r>
          <a:endParaRPr lang="de-AT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4</xdr:row>
      <xdr:rowOff>9525</xdr:rowOff>
    </xdr:from>
    <xdr:to>
      <xdr:col>15</xdr:col>
      <xdr:colOff>571500</xdr:colOff>
      <xdr:row>15</xdr:row>
      <xdr:rowOff>0</xdr:rowOff>
    </xdr:to>
    <xdr:graphicFrame macro="">
      <xdr:nvGraphicFramePr>
        <xdr:cNvPr id="9" name="Diagramm 2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</xdr:row>
          <xdr:rowOff>28575</xdr:rowOff>
        </xdr:from>
        <xdr:to>
          <xdr:col>4</xdr:col>
          <xdr:colOff>514350</xdr:colOff>
          <xdr:row>7</xdr:row>
          <xdr:rowOff>333375</xdr:rowOff>
        </xdr:to>
        <xdr:sp macro="" textlink="">
          <xdr:nvSpPr>
            <xdr:cNvPr id="102407" name="Spinner 7" hidden="1">
              <a:extLst>
                <a:ext uri="{63B3BB69-23CF-44E3-9099-C40C66FF867C}">
                  <a14:compatExt spid="_x0000_s102407"/>
                </a:ext>
                <a:ext uri="{FF2B5EF4-FFF2-40B4-BE49-F238E27FC236}">
                  <a16:creationId xmlns:a16="http://schemas.microsoft.com/office/drawing/2014/main" id="{00000000-0008-0000-0700-000007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9525</xdr:rowOff>
        </xdr:from>
        <xdr:to>
          <xdr:col>4</xdr:col>
          <xdr:colOff>504825</xdr:colOff>
          <xdr:row>8</xdr:row>
          <xdr:rowOff>314325</xdr:rowOff>
        </xdr:to>
        <xdr:sp macro="" textlink="">
          <xdr:nvSpPr>
            <xdr:cNvPr id="102408" name="Spinner 8" hidden="1">
              <a:extLst>
                <a:ext uri="{63B3BB69-23CF-44E3-9099-C40C66FF867C}">
                  <a14:compatExt spid="_x0000_s102408"/>
                </a:ext>
                <a:ext uri="{FF2B5EF4-FFF2-40B4-BE49-F238E27FC236}">
                  <a16:creationId xmlns:a16="http://schemas.microsoft.com/office/drawing/2014/main" id="{00000000-0008-0000-0700-000008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4</xdr:col>
          <xdr:colOff>495300</xdr:colOff>
          <xdr:row>9</xdr:row>
          <xdr:rowOff>314325</xdr:rowOff>
        </xdr:to>
        <xdr:sp macro="" textlink="">
          <xdr:nvSpPr>
            <xdr:cNvPr id="102409" name="Spinner 9" hidden="1">
              <a:extLst>
                <a:ext uri="{63B3BB69-23CF-44E3-9099-C40C66FF867C}">
                  <a14:compatExt spid="_x0000_s102409"/>
                </a:ext>
                <a:ext uri="{FF2B5EF4-FFF2-40B4-BE49-F238E27FC236}">
                  <a16:creationId xmlns:a16="http://schemas.microsoft.com/office/drawing/2014/main" id="{00000000-0008-0000-0700-000009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11</xdr:row>
          <xdr:rowOff>28575</xdr:rowOff>
        </xdr:from>
        <xdr:to>
          <xdr:col>4</xdr:col>
          <xdr:colOff>514350</xdr:colOff>
          <xdr:row>11</xdr:row>
          <xdr:rowOff>371475</xdr:rowOff>
        </xdr:to>
        <xdr:sp macro="" textlink="">
          <xdr:nvSpPr>
            <xdr:cNvPr id="102410" name="Spinner 10" hidden="1">
              <a:extLst>
                <a:ext uri="{63B3BB69-23CF-44E3-9099-C40C66FF867C}">
                  <a14:compatExt spid="_x0000_s102410"/>
                </a:ext>
                <a:ext uri="{FF2B5EF4-FFF2-40B4-BE49-F238E27FC236}">
                  <a16:creationId xmlns:a16="http://schemas.microsoft.com/office/drawing/2014/main" id="{00000000-0008-0000-0700-00000A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</xdr:row>
          <xdr:rowOff>28575</xdr:rowOff>
        </xdr:from>
        <xdr:to>
          <xdr:col>4</xdr:col>
          <xdr:colOff>504825</xdr:colOff>
          <xdr:row>13</xdr:row>
          <xdr:rowOff>409575</xdr:rowOff>
        </xdr:to>
        <xdr:sp macro="" textlink="">
          <xdr:nvSpPr>
            <xdr:cNvPr id="102411" name="Spinner 11" hidden="1">
              <a:extLst>
                <a:ext uri="{63B3BB69-23CF-44E3-9099-C40C66FF867C}">
                  <a14:compatExt spid="_x0000_s102411"/>
                </a:ext>
                <a:ext uri="{FF2B5EF4-FFF2-40B4-BE49-F238E27FC236}">
                  <a16:creationId xmlns:a16="http://schemas.microsoft.com/office/drawing/2014/main" id="{00000000-0008-0000-0700-00000B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4</xdr:col>
          <xdr:colOff>514350</xdr:colOff>
          <xdr:row>6</xdr:row>
          <xdr:rowOff>333375</xdr:rowOff>
        </xdr:to>
        <xdr:sp macro="" textlink="">
          <xdr:nvSpPr>
            <xdr:cNvPr id="102412" name="Spinner 12" hidden="1">
              <a:extLst>
                <a:ext uri="{63B3BB69-23CF-44E3-9099-C40C66FF867C}">
                  <a14:compatExt spid="_x0000_s102412"/>
                </a:ext>
                <a:ext uri="{FF2B5EF4-FFF2-40B4-BE49-F238E27FC236}">
                  <a16:creationId xmlns:a16="http://schemas.microsoft.com/office/drawing/2014/main" id="{00000000-0008-0000-0700-00000C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4</xdr:row>
      <xdr:rowOff>9525</xdr:rowOff>
    </xdr:from>
    <xdr:to>
      <xdr:col>15</xdr:col>
      <xdr:colOff>571500</xdr:colOff>
      <xdr:row>15</xdr:row>
      <xdr:rowOff>0</xdr:rowOff>
    </xdr:to>
    <xdr:graphicFrame macro="">
      <xdr:nvGraphicFramePr>
        <xdr:cNvPr id="2336" name="Diagramm 22">
          <a:extLst>
            <a:ext uri="{FF2B5EF4-FFF2-40B4-BE49-F238E27FC236}">
              <a16:creationId xmlns:a16="http://schemas.microsoft.com/office/drawing/2014/main" id="{00000000-0008-0000-0800-000020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</xdr:row>
          <xdr:rowOff>28575</xdr:rowOff>
        </xdr:from>
        <xdr:to>
          <xdr:col>4</xdr:col>
          <xdr:colOff>514350</xdr:colOff>
          <xdr:row>7</xdr:row>
          <xdr:rowOff>333375</xdr:rowOff>
        </xdr:to>
        <xdr:sp macro="" textlink="">
          <xdr:nvSpPr>
            <xdr:cNvPr id="2269" name="Spinner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8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9525</xdr:rowOff>
        </xdr:from>
        <xdr:to>
          <xdr:col>4</xdr:col>
          <xdr:colOff>504825</xdr:colOff>
          <xdr:row>8</xdr:row>
          <xdr:rowOff>314325</xdr:rowOff>
        </xdr:to>
        <xdr:sp macro="" textlink="">
          <xdr:nvSpPr>
            <xdr:cNvPr id="2270" name="Spinner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8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4</xdr:col>
          <xdr:colOff>495300</xdr:colOff>
          <xdr:row>9</xdr:row>
          <xdr:rowOff>314325</xdr:rowOff>
        </xdr:to>
        <xdr:sp macro="" textlink="">
          <xdr:nvSpPr>
            <xdr:cNvPr id="2271" name="Spinner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8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11</xdr:row>
          <xdr:rowOff>28575</xdr:rowOff>
        </xdr:from>
        <xdr:to>
          <xdr:col>4</xdr:col>
          <xdr:colOff>514350</xdr:colOff>
          <xdr:row>11</xdr:row>
          <xdr:rowOff>371475</xdr:rowOff>
        </xdr:to>
        <xdr:sp macro="" textlink="">
          <xdr:nvSpPr>
            <xdr:cNvPr id="2272" name="Spinner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8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</xdr:row>
          <xdr:rowOff>28575</xdr:rowOff>
        </xdr:from>
        <xdr:to>
          <xdr:col>4</xdr:col>
          <xdr:colOff>504825</xdr:colOff>
          <xdr:row>13</xdr:row>
          <xdr:rowOff>409575</xdr:rowOff>
        </xdr:to>
        <xdr:sp macro="" textlink="">
          <xdr:nvSpPr>
            <xdr:cNvPr id="2273" name="Spinner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8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4</xdr:col>
          <xdr:colOff>514350</xdr:colOff>
          <xdr:row>6</xdr:row>
          <xdr:rowOff>333375</xdr:rowOff>
        </xdr:to>
        <xdr:sp macro="" textlink="">
          <xdr:nvSpPr>
            <xdr:cNvPr id="2274" name="Spinner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8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\Desktop\W&amp;B%20OE-KF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&amp;B%20DG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&amp;B%20KAS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&amp;B%20K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KBS"/>
      <sheetName val="OE-DCL"/>
      <sheetName val="OE-DLP"/>
      <sheetName val="OE-KFF"/>
    </sheetNames>
    <sheetDataSet>
      <sheetData sheetId="0">
        <row r="4">
          <cell r="M4" t="str">
            <v>Weight</v>
          </cell>
        </row>
        <row r="5">
          <cell r="L5">
            <v>77</v>
          </cell>
          <cell r="M5">
            <v>2000</v>
          </cell>
        </row>
        <row r="6">
          <cell r="L6">
            <v>77</v>
          </cell>
          <cell r="M6">
            <v>2800</v>
          </cell>
        </row>
        <row r="7">
          <cell r="L7">
            <v>82.1</v>
          </cell>
          <cell r="M7">
            <v>3400</v>
          </cell>
        </row>
        <row r="8">
          <cell r="L8">
            <v>86.7</v>
          </cell>
          <cell r="M8">
            <v>3400</v>
          </cell>
        </row>
        <row r="9">
          <cell r="L9">
            <v>86.7</v>
          </cell>
          <cell r="M9">
            <v>2000</v>
          </cell>
        </row>
        <row r="10">
          <cell r="J10" t="str">
            <v>Total weight in pounds</v>
          </cell>
        </row>
        <row r="11">
          <cell r="J11">
            <v>3150.2000000000003</v>
          </cell>
          <cell r="L11">
            <v>83.059170846295459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DGE"/>
    </sheetNames>
    <sheetDataSet>
      <sheetData sheetId="0">
        <row r="5">
          <cell r="J5">
            <v>2.4</v>
          </cell>
        </row>
        <row r="11">
          <cell r="H11">
            <v>1092.0335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KAS"/>
    </sheetNames>
    <sheetDataSet>
      <sheetData sheetId="0">
        <row r="5">
          <cell r="J5">
            <v>2.4</v>
          </cell>
        </row>
        <row r="11">
          <cell r="H11">
            <v>1152.9034999999999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KBS"/>
    </sheetNames>
    <sheetDataSet>
      <sheetData sheetId="0">
        <row r="3">
          <cell r="M3" t="str">
            <v>Weight</v>
          </cell>
        </row>
        <row r="4">
          <cell r="L4">
            <v>82</v>
          </cell>
          <cell r="M4">
            <v>1200</v>
          </cell>
        </row>
        <row r="5">
          <cell r="L5">
            <v>82</v>
          </cell>
          <cell r="M5">
            <v>2050</v>
          </cell>
        </row>
        <row r="6">
          <cell r="L6">
            <v>88.5</v>
          </cell>
          <cell r="M6">
            <v>2550</v>
          </cell>
        </row>
        <row r="7">
          <cell r="L7">
            <v>93</v>
          </cell>
          <cell r="M7">
            <v>2550</v>
          </cell>
        </row>
        <row r="8">
          <cell r="L8">
            <v>93</v>
          </cell>
          <cell r="M8">
            <v>1200</v>
          </cell>
        </row>
        <row r="10">
          <cell r="L10">
            <v>87.349842914154706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49"/>
  <sheetViews>
    <sheetView tabSelected="1" workbookViewId="0">
      <selection activeCell="G16" sqref="G16:H16"/>
    </sheetView>
  </sheetViews>
  <sheetFormatPr baseColWidth="10" defaultColWidth="11.42578125" defaultRowHeight="12.75" x14ac:dyDescent="0.2"/>
  <cols>
    <col min="1" max="1" width="5.28515625" customWidth="1"/>
    <col min="2" max="2" width="3.85546875" customWidth="1"/>
    <col min="3" max="3" width="39.5703125" customWidth="1"/>
    <col min="4" max="4" width="14.28515625" customWidth="1"/>
    <col min="5" max="5" width="6.42578125" customWidth="1"/>
    <col min="6" max="6" width="8.140625" customWidth="1"/>
    <col min="7" max="7" width="8.42578125" customWidth="1"/>
    <col min="8" max="8" width="8.5703125" customWidth="1"/>
    <col min="9" max="9" width="13.140625" hidden="1" customWidth="1"/>
  </cols>
  <sheetData>
    <row r="3" spans="1:20" ht="17.25" customHeight="1" x14ac:dyDescent="0.2">
      <c r="F3" s="225" t="s">
        <v>0</v>
      </c>
      <c r="G3" s="225"/>
      <c r="H3" s="225"/>
    </row>
    <row r="4" spans="1:20" ht="13.5" thickBot="1" x14ac:dyDescent="0.25">
      <c r="C4" t="s">
        <v>1</v>
      </c>
    </row>
    <row r="5" spans="1:20" ht="32.25" customHeight="1" thickBot="1" x14ac:dyDescent="0.25">
      <c r="B5" s="7"/>
      <c r="C5" s="226" t="s">
        <v>2</v>
      </c>
      <c r="D5" s="227"/>
      <c r="E5" s="21"/>
      <c r="F5" s="1" t="s">
        <v>3</v>
      </c>
      <c r="G5" s="5" t="s">
        <v>4</v>
      </c>
      <c r="H5" s="1" t="s">
        <v>5</v>
      </c>
      <c r="I5" s="14" t="s">
        <v>6</v>
      </c>
    </row>
    <row r="6" spans="1:20" ht="24.75" customHeight="1" thickBot="1" x14ac:dyDescent="0.25">
      <c r="A6" s="12"/>
      <c r="B6" s="204" t="s">
        <v>7</v>
      </c>
      <c r="C6" s="228" t="s">
        <v>8</v>
      </c>
      <c r="D6" s="229"/>
      <c r="E6" s="31"/>
      <c r="F6" s="205">
        <v>0.79</v>
      </c>
      <c r="G6" s="22">
        <v>543</v>
      </c>
      <c r="H6" s="19">
        <v>427.99</v>
      </c>
      <c r="I6" s="15">
        <f>(H6/G6)*1000</f>
        <v>788.19521178637194</v>
      </c>
    </row>
    <row r="7" spans="1:20" ht="21" customHeight="1" thickBot="1" x14ac:dyDescent="0.25">
      <c r="A7" s="12"/>
      <c r="B7" s="206">
        <v>2</v>
      </c>
      <c r="C7" s="8" t="s">
        <v>9</v>
      </c>
      <c r="D7" s="9"/>
      <c r="E7" s="32"/>
      <c r="F7" s="3">
        <v>0.99</v>
      </c>
      <c r="G7" s="107">
        <v>91</v>
      </c>
      <c r="H7" s="25">
        <f>F7*G7</f>
        <v>90.09</v>
      </c>
      <c r="I7" s="16">
        <f>(H7/G7)*1000</f>
        <v>990</v>
      </c>
    </row>
    <row r="8" spans="1:20" ht="21" customHeight="1" thickTop="1" thickBot="1" x14ac:dyDescent="0.25">
      <c r="A8" s="12"/>
      <c r="B8" s="207">
        <v>3</v>
      </c>
      <c r="C8" s="8" t="s">
        <v>10</v>
      </c>
      <c r="D8" s="9"/>
      <c r="E8" s="32"/>
      <c r="F8" s="3">
        <v>0.99</v>
      </c>
      <c r="G8" s="107">
        <v>90</v>
      </c>
      <c r="H8" s="25">
        <f>F8*G8</f>
        <v>89.1</v>
      </c>
      <c r="I8" s="16">
        <f>IF(G8=0,"-",(H8/G8)*1000)</f>
        <v>990</v>
      </c>
    </row>
    <row r="9" spans="1:20" ht="21" customHeight="1" thickTop="1" thickBot="1" x14ac:dyDescent="0.25">
      <c r="A9" s="12"/>
      <c r="B9" s="208">
        <v>4</v>
      </c>
      <c r="C9" s="230" t="s">
        <v>11</v>
      </c>
      <c r="D9" s="224"/>
      <c r="E9" s="33"/>
      <c r="F9" s="3">
        <v>1.63</v>
      </c>
      <c r="G9" s="107">
        <v>2</v>
      </c>
      <c r="H9" s="25">
        <f>F9*G9</f>
        <v>3.26</v>
      </c>
      <c r="I9" s="16">
        <f>IF(G9=0,"-",(H9/G9)*1000)</f>
        <v>1630</v>
      </c>
    </row>
    <row r="10" spans="1:20" ht="21" customHeight="1" thickTop="1" thickBot="1" x14ac:dyDescent="0.25">
      <c r="A10" s="12"/>
      <c r="B10" s="209">
        <v>5</v>
      </c>
      <c r="C10" s="223" t="s">
        <v>12</v>
      </c>
      <c r="D10" s="224"/>
      <c r="E10" s="33"/>
      <c r="F10" s="3">
        <v>2.13</v>
      </c>
      <c r="G10" s="107">
        <v>0</v>
      </c>
      <c r="H10" s="25">
        <f>F10*G10</f>
        <v>0</v>
      </c>
      <c r="I10" s="16" t="str">
        <f>IF(G10=0,"-",(H10/G10)*1000)</f>
        <v>-</v>
      </c>
    </row>
    <row r="11" spans="1:20" ht="21" customHeight="1" thickTop="1" thickBot="1" x14ac:dyDescent="0.25">
      <c r="A11" s="12"/>
      <c r="B11" s="210">
        <v>6</v>
      </c>
      <c r="C11" s="223" t="s">
        <v>13</v>
      </c>
      <c r="D11" s="224"/>
      <c r="E11" s="33"/>
      <c r="F11" s="12">
        <f>H11/G11</f>
        <v>0.84082644628099179</v>
      </c>
      <c r="G11" s="26">
        <f>SUM(G6:G10)</f>
        <v>726</v>
      </c>
      <c r="H11" s="27">
        <f>SUM(H6:H10)</f>
        <v>610.44000000000005</v>
      </c>
      <c r="I11" s="16">
        <f>(H11/G11)*1000</f>
        <v>840.82644628099183</v>
      </c>
    </row>
    <row r="12" spans="1:20" ht="24.75" customHeight="1" thickBot="1" x14ac:dyDescent="0.25">
      <c r="A12" s="12"/>
      <c r="B12" s="211" t="s">
        <v>14</v>
      </c>
      <c r="C12" s="10" t="s">
        <v>15</v>
      </c>
      <c r="D12" s="212">
        <v>47</v>
      </c>
      <c r="E12" s="213"/>
      <c r="F12" s="43">
        <v>1.07</v>
      </c>
      <c r="G12" s="28">
        <f>D12*0.72</f>
        <v>33.839999999999996</v>
      </c>
      <c r="H12" s="25">
        <f>F12*G12</f>
        <v>36.208799999999997</v>
      </c>
      <c r="I12" s="16">
        <f>(H12/G12)*1000</f>
        <v>1070</v>
      </c>
    </row>
    <row r="13" spans="1:20" ht="23.25" customHeight="1" thickTop="1" thickBot="1" x14ac:dyDescent="0.25">
      <c r="A13" s="12"/>
      <c r="B13" s="210" t="s">
        <v>16</v>
      </c>
      <c r="C13" s="223" t="s">
        <v>17</v>
      </c>
      <c r="D13" s="224"/>
      <c r="E13" s="33"/>
      <c r="F13" s="3">
        <f>H13/G13</f>
        <v>0.85103284902084653</v>
      </c>
      <c r="G13" s="26">
        <f>SUM(G11:G12)</f>
        <v>759.84</v>
      </c>
      <c r="H13" s="27">
        <f>SUM(H11:H12)</f>
        <v>646.64880000000005</v>
      </c>
      <c r="I13" s="16">
        <f>(H13/G13)*1000</f>
        <v>851.03284902084647</v>
      </c>
    </row>
    <row r="14" spans="1:20" ht="29.25" customHeight="1" thickBot="1" x14ac:dyDescent="0.25">
      <c r="A14" s="12"/>
      <c r="B14" s="214" t="s">
        <v>18</v>
      </c>
      <c r="C14" s="11" t="s">
        <v>19</v>
      </c>
      <c r="D14" s="212">
        <v>3</v>
      </c>
      <c r="E14" s="213"/>
      <c r="F14" s="43">
        <v>1.07</v>
      </c>
      <c r="G14" s="26">
        <f>-(D14*0.72)</f>
        <v>-2.16</v>
      </c>
      <c r="H14" s="27">
        <f>F14*G14</f>
        <v>-2.3112000000000004</v>
      </c>
      <c r="I14" s="16">
        <f>(H14/G14)*1000</f>
        <v>1070</v>
      </c>
    </row>
    <row r="15" spans="1:20" ht="27.75" customHeight="1" thickTop="1" thickBot="1" x14ac:dyDescent="0.25">
      <c r="A15" s="12"/>
      <c r="B15" s="210" t="s">
        <v>20</v>
      </c>
      <c r="C15" s="223" t="s">
        <v>21</v>
      </c>
      <c r="D15" s="224"/>
      <c r="E15" s="34"/>
      <c r="F15" s="4">
        <f>H15/G15</f>
        <v>0.85040861577446947</v>
      </c>
      <c r="G15" s="29">
        <f>SUM(G13:G14)</f>
        <v>757.68000000000006</v>
      </c>
      <c r="H15" s="30">
        <f>SUM(H13:H14)</f>
        <v>644.33760000000007</v>
      </c>
      <c r="I15" s="17">
        <f>(H15/G15)*1000</f>
        <v>850.40861577446947</v>
      </c>
    </row>
    <row r="16" spans="1:20" ht="16.5" customHeight="1" thickBot="1" x14ac:dyDescent="0.25">
      <c r="B16" s="18"/>
      <c r="C16" s="18" t="s">
        <v>22</v>
      </c>
      <c r="D16" s="18"/>
      <c r="E16" s="18"/>
      <c r="F16" s="18"/>
      <c r="G16" s="221" t="s">
        <v>150</v>
      </c>
      <c r="H16" s="222"/>
      <c r="I16" s="215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2" ht="17.25" customHeight="1" x14ac:dyDescent="0.25">
      <c r="B17" s="18"/>
      <c r="C17" s="216" t="str">
        <f>IF(G10&gt;23,"Zuladung Gepäckraum 2 überschritten!","")</f>
        <v/>
      </c>
      <c r="D17" s="44"/>
      <c r="E17" s="44"/>
      <c r="F17" s="44"/>
      <c r="G17" s="44"/>
      <c r="H17" s="45" t="str">
        <f>IF(G13&gt;1160,"Max. Rampenmasse überschritten!","")</f>
        <v/>
      </c>
      <c r="I17" s="44"/>
      <c r="J17" s="44"/>
      <c r="K17" s="44"/>
      <c r="L17" s="44"/>
      <c r="M17" s="44"/>
      <c r="N17" s="44"/>
      <c r="O17" s="44"/>
      <c r="P17" s="44"/>
      <c r="Q17" s="44"/>
      <c r="R17" s="18"/>
      <c r="S17" s="18"/>
      <c r="T17" s="18"/>
    </row>
    <row r="18" spans="1:22" ht="19.5" customHeight="1" x14ac:dyDescent="0.25">
      <c r="B18" s="18"/>
      <c r="C18" s="216"/>
      <c r="D18" s="44"/>
      <c r="E18" s="46">
        <v>0</v>
      </c>
      <c r="F18" s="44"/>
      <c r="G18" s="44"/>
      <c r="H18" s="45" t="str">
        <f>IF(G15&gt;1158,"Max. Abflugmasse überschritten!","")</f>
        <v/>
      </c>
      <c r="I18" s="44"/>
      <c r="J18" s="44"/>
      <c r="K18" s="44"/>
      <c r="L18" s="44"/>
      <c r="M18" s="44"/>
      <c r="N18" s="44"/>
      <c r="O18" s="44"/>
      <c r="P18" s="44"/>
      <c r="Q18" s="44"/>
      <c r="R18" s="18"/>
      <c r="S18" s="18"/>
      <c r="T18" s="18"/>
      <c r="U18" s="35"/>
      <c r="V18" s="35"/>
    </row>
    <row r="19" spans="1:22" x14ac:dyDescent="0.2">
      <c r="A19" s="18"/>
      <c r="B19" s="18"/>
      <c r="C19" s="18"/>
      <c r="D19" s="44"/>
      <c r="E19" s="44"/>
      <c r="F19" s="46"/>
      <c r="G19" s="46"/>
      <c r="H19" s="46"/>
      <c r="I19" s="44"/>
      <c r="J19" s="44"/>
      <c r="K19" s="44"/>
      <c r="L19" s="44"/>
      <c r="M19" s="44"/>
      <c r="N19" s="44"/>
      <c r="O19" s="44"/>
      <c r="P19" s="44"/>
      <c r="Q19" s="44"/>
      <c r="R19" s="18"/>
      <c r="S19" s="18"/>
      <c r="T19" s="18"/>
      <c r="U19" s="35"/>
      <c r="V19" s="35"/>
    </row>
    <row r="20" spans="1:22" x14ac:dyDescent="0.2">
      <c r="A20" s="18"/>
      <c r="B20" s="18"/>
      <c r="C20" s="18"/>
      <c r="D20" s="44"/>
      <c r="E20" s="44"/>
      <c r="F20" s="44"/>
      <c r="G20" s="46"/>
      <c r="H20" s="46"/>
      <c r="I20" s="44"/>
      <c r="J20" s="44"/>
      <c r="K20" s="44"/>
      <c r="L20" s="44"/>
      <c r="M20" s="44"/>
      <c r="N20" s="44"/>
      <c r="O20" s="44"/>
      <c r="P20" s="44"/>
      <c r="Q20" s="44"/>
      <c r="R20" s="18"/>
      <c r="S20" s="18"/>
      <c r="T20" s="18"/>
      <c r="U20" s="35"/>
      <c r="V20" s="35"/>
    </row>
    <row r="21" spans="1:22" x14ac:dyDescent="0.2">
      <c r="A21" s="18"/>
      <c r="B21" s="18"/>
      <c r="C21" s="18"/>
      <c r="D21" s="44"/>
      <c r="E21" s="44"/>
      <c r="F21" s="44"/>
      <c r="G21" s="46" t="s">
        <v>23</v>
      </c>
      <c r="H21" s="46" t="s">
        <v>24</v>
      </c>
      <c r="I21" s="44"/>
      <c r="J21" s="44"/>
      <c r="K21" s="44"/>
      <c r="L21" s="44"/>
      <c r="M21" s="44"/>
      <c r="N21" s="44"/>
      <c r="O21" s="44"/>
      <c r="P21" s="44"/>
      <c r="Q21" s="44"/>
      <c r="R21" s="18"/>
      <c r="S21" s="18"/>
      <c r="T21" s="18"/>
      <c r="U21" s="35"/>
      <c r="V21" s="35"/>
    </row>
    <row r="22" spans="1:22" x14ac:dyDescent="0.2">
      <c r="A22" s="18"/>
      <c r="B22" s="18"/>
      <c r="C22" s="18"/>
      <c r="D22" s="47" t="s">
        <v>25</v>
      </c>
      <c r="E22" s="44"/>
      <c r="F22" s="44"/>
      <c r="G22" s="48">
        <v>789</v>
      </c>
      <c r="H22" s="48">
        <f>H6</f>
        <v>427.99</v>
      </c>
      <c r="I22" s="48"/>
      <c r="J22" s="44"/>
      <c r="K22" s="46">
        <v>250</v>
      </c>
      <c r="L22" s="46">
        <v>270</v>
      </c>
      <c r="M22" s="46">
        <v>290</v>
      </c>
      <c r="N22" s="46">
        <v>310</v>
      </c>
      <c r="O22" s="46">
        <v>330</v>
      </c>
      <c r="P22" s="46">
        <v>350</v>
      </c>
      <c r="Q22" s="46">
        <v>370</v>
      </c>
      <c r="R22" s="46">
        <v>390</v>
      </c>
      <c r="S22" s="18"/>
      <c r="T22" s="18"/>
      <c r="U22" s="35"/>
      <c r="V22" s="35"/>
    </row>
    <row r="23" spans="1:22" x14ac:dyDescent="0.2">
      <c r="A23" s="18"/>
      <c r="B23" s="18"/>
      <c r="C23" s="18"/>
      <c r="D23" s="47" t="s">
        <v>26</v>
      </c>
      <c r="E23" s="47"/>
      <c r="F23" s="48">
        <f>G23-G30</f>
        <v>880</v>
      </c>
      <c r="G23" s="48">
        <f t="shared" ref="G23:H26" si="0">G22+G7</f>
        <v>880</v>
      </c>
      <c r="H23" s="48">
        <f t="shared" si="0"/>
        <v>518.08000000000004</v>
      </c>
      <c r="I23" s="48"/>
      <c r="J23" s="44">
        <v>1158</v>
      </c>
      <c r="K23" s="46">
        <f t="shared" ref="K23:R24" si="1">K$22*$J23/1000</f>
        <v>289.5</v>
      </c>
      <c r="L23" s="46">
        <f t="shared" si="1"/>
        <v>312.66000000000003</v>
      </c>
      <c r="M23" s="46">
        <f t="shared" si="1"/>
        <v>335.82</v>
      </c>
      <c r="N23" s="46">
        <f t="shared" si="1"/>
        <v>358.98</v>
      </c>
      <c r="O23" s="46">
        <f t="shared" si="1"/>
        <v>382.14</v>
      </c>
      <c r="P23" s="46">
        <f t="shared" si="1"/>
        <v>405.3</v>
      </c>
      <c r="Q23" s="46">
        <f t="shared" si="1"/>
        <v>428.46</v>
      </c>
      <c r="R23" s="46">
        <f t="shared" si="1"/>
        <v>451.62</v>
      </c>
      <c r="S23" s="18"/>
      <c r="T23" s="18"/>
      <c r="U23" s="35"/>
      <c r="V23" s="35"/>
    </row>
    <row r="24" spans="1:22" x14ac:dyDescent="0.2">
      <c r="A24" s="18"/>
      <c r="B24" s="18"/>
      <c r="C24" s="18"/>
      <c r="D24" s="49" t="s">
        <v>27</v>
      </c>
      <c r="E24" s="50"/>
      <c r="F24" s="48">
        <f>G24-G23</f>
        <v>90</v>
      </c>
      <c r="G24" s="48">
        <f t="shared" si="0"/>
        <v>970</v>
      </c>
      <c r="H24" s="48">
        <f t="shared" si="0"/>
        <v>607.18000000000006</v>
      </c>
      <c r="I24" s="48"/>
      <c r="J24" s="44">
        <v>560</v>
      </c>
      <c r="K24" s="46">
        <f t="shared" si="1"/>
        <v>140</v>
      </c>
      <c r="L24" s="46">
        <f t="shared" si="1"/>
        <v>151.19999999999999</v>
      </c>
      <c r="M24" s="46">
        <f t="shared" si="1"/>
        <v>162.4</v>
      </c>
      <c r="N24" s="46">
        <f t="shared" si="1"/>
        <v>173.6</v>
      </c>
      <c r="O24" s="46">
        <f t="shared" si="1"/>
        <v>184.8</v>
      </c>
      <c r="P24" s="46">
        <f t="shared" si="1"/>
        <v>196</v>
      </c>
      <c r="Q24" s="46">
        <f t="shared" si="1"/>
        <v>207.2</v>
      </c>
      <c r="R24" s="46">
        <f t="shared" si="1"/>
        <v>218.4</v>
      </c>
      <c r="S24" s="18"/>
      <c r="T24" s="18"/>
      <c r="U24" s="35"/>
      <c r="V24" s="35"/>
    </row>
    <row r="25" spans="1:22" x14ac:dyDescent="0.2">
      <c r="A25" s="18"/>
      <c r="B25" s="18"/>
      <c r="C25" s="18"/>
      <c r="D25" s="49" t="s">
        <v>28</v>
      </c>
      <c r="E25" s="50"/>
      <c r="F25" s="48">
        <f>G25-G24</f>
        <v>2</v>
      </c>
      <c r="G25" s="48">
        <f t="shared" si="0"/>
        <v>972</v>
      </c>
      <c r="H25" s="48">
        <f t="shared" si="0"/>
        <v>610.44000000000005</v>
      </c>
      <c r="I25" s="48"/>
      <c r="J25" s="44"/>
      <c r="K25" s="44"/>
      <c r="L25" s="44"/>
      <c r="M25" s="44"/>
      <c r="N25" s="44"/>
      <c r="O25" s="44"/>
      <c r="P25" s="44"/>
      <c r="Q25" s="44"/>
      <c r="R25" s="18"/>
      <c r="S25" s="18"/>
      <c r="T25" s="18"/>
      <c r="U25" s="35"/>
      <c r="V25" s="35"/>
    </row>
    <row r="26" spans="1:22" x14ac:dyDescent="0.2">
      <c r="A26" s="18"/>
      <c r="B26" s="18"/>
      <c r="C26" s="18"/>
      <c r="D26" s="49" t="s">
        <v>29</v>
      </c>
      <c r="E26" s="51"/>
      <c r="F26" s="48">
        <f>G26-G25</f>
        <v>0</v>
      </c>
      <c r="G26" s="48">
        <f t="shared" si="0"/>
        <v>972</v>
      </c>
      <c r="H26" s="48">
        <f t="shared" si="0"/>
        <v>610.44000000000005</v>
      </c>
      <c r="I26" s="48"/>
      <c r="J26" s="44">
        <v>730</v>
      </c>
      <c r="K26" s="44">
        <f>J26*K22/1000</f>
        <v>182.5</v>
      </c>
      <c r="L26" s="44"/>
      <c r="M26" s="48">
        <f>H13</f>
        <v>646.64880000000005</v>
      </c>
      <c r="N26" s="48">
        <f>G13</f>
        <v>759.84</v>
      </c>
      <c r="O26" s="44"/>
      <c r="P26" s="44"/>
      <c r="Q26" s="44"/>
      <c r="R26" s="18"/>
      <c r="S26" s="18"/>
      <c r="T26" s="18"/>
      <c r="U26" s="35"/>
      <c r="V26" s="35"/>
    </row>
    <row r="27" spans="1:22" x14ac:dyDescent="0.2">
      <c r="A27" s="18"/>
      <c r="B27" s="18"/>
      <c r="C27" s="18"/>
      <c r="D27" s="49" t="s">
        <v>30</v>
      </c>
      <c r="E27" s="51"/>
      <c r="F27" s="44"/>
      <c r="G27" s="48">
        <f>G26+G12</f>
        <v>1005.84</v>
      </c>
      <c r="H27" s="48">
        <f>H26+H12</f>
        <v>646.64880000000005</v>
      </c>
      <c r="I27" s="48"/>
      <c r="J27" s="44">
        <v>730</v>
      </c>
      <c r="K27" s="44">
        <f>J27*R22/1000</f>
        <v>284.7</v>
      </c>
      <c r="L27" s="44"/>
      <c r="M27" s="48">
        <f>H15</f>
        <v>644.33760000000007</v>
      </c>
      <c r="N27" s="48">
        <f>G15</f>
        <v>757.68000000000006</v>
      </c>
      <c r="O27" s="44"/>
      <c r="P27" s="44"/>
      <c r="Q27" s="44"/>
      <c r="R27" s="18"/>
      <c r="S27" s="18"/>
      <c r="T27" s="18"/>
      <c r="U27" s="35"/>
      <c r="V27" s="35"/>
    </row>
    <row r="28" spans="1:22" x14ac:dyDescent="0.2">
      <c r="A28" s="18"/>
      <c r="B28" s="18"/>
      <c r="C28" s="18"/>
      <c r="D28" s="49" t="s">
        <v>31</v>
      </c>
      <c r="E28" s="51"/>
      <c r="F28" s="44"/>
      <c r="G28" s="48">
        <f>G27+G14</f>
        <v>1003.6800000000001</v>
      </c>
      <c r="H28" s="48">
        <f>H27+H14</f>
        <v>644.33760000000007</v>
      </c>
      <c r="I28" s="48"/>
      <c r="J28" s="44"/>
      <c r="K28" s="44"/>
      <c r="L28" s="44"/>
      <c r="M28" s="44"/>
      <c r="N28" s="44"/>
      <c r="O28" s="44"/>
      <c r="P28" s="44"/>
      <c r="Q28" s="44"/>
      <c r="R28" s="18"/>
      <c r="S28" s="18"/>
      <c r="T28" s="18"/>
      <c r="U28" s="35"/>
      <c r="V28" s="35"/>
    </row>
    <row r="29" spans="1:22" x14ac:dyDescent="0.2">
      <c r="A29" s="18"/>
      <c r="B29" s="18"/>
      <c r="C29" s="18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18"/>
      <c r="S29" s="18"/>
      <c r="T29" s="18"/>
      <c r="U29" s="35"/>
      <c r="V29" s="35"/>
    </row>
    <row r="30" spans="1:22" x14ac:dyDescent="0.2">
      <c r="A30" s="18"/>
      <c r="B30" s="18"/>
      <c r="C30" s="18"/>
      <c r="D30" s="44"/>
      <c r="E30" s="44"/>
      <c r="F30" s="44"/>
      <c r="G30" s="48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18"/>
      <c r="S30" s="18"/>
      <c r="T30" s="18"/>
      <c r="U30" s="35"/>
      <c r="V30" s="35"/>
    </row>
    <row r="31" spans="1:22" x14ac:dyDescent="0.2">
      <c r="A31" s="18"/>
      <c r="B31" s="18"/>
      <c r="C31" s="18"/>
      <c r="D31" s="44"/>
      <c r="E31" s="44"/>
      <c r="F31" s="44"/>
      <c r="G31" s="44"/>
      <c r="H31" s="44"/>
      <c r="I31" s="44"/>
      <c r="J31" s="44"/>
      <c r="K31" s="46" t="s">
        <v>32</v>
      </c>
      <c r="L31" s="44"/>
      <c r="M31" s="44"/>
      <c r="N31" s="44"/>
      <c r="O31" s="44"/>
      <c r="P31" s="44"/>
      <c r="Q31" s="44"/>
      <c r="R31" s="18"/>
      <c r="S31" s="18"/>
      <c r="T31" s="18"/>
      <c r="U31" s="35"/>
      <c r="V31" s="35"/>
    </row>
    <row r="32" spans="1:22" x14ac:dyDescent="0.2">
      <c r="A32" s="18"/>
      <c r="B32" s="18"/>
      <c r="C32" s="18"/>
      <c r="D32" s="44"/>
      <c r="E32" s="44"/>
      <c r="F32" s="44"/>
      <c r="G32" s="44"/>
      <c r="H32" s="44"/>
      <c r="I32" s="44"/>
      <c r="J32" s="46" t="s">
        <v>33</v>
      </c>
      <c r="K32" s="46" t="s">
        <v>34</v>
      </c>
      <c r="L32" s="46" t="s">
        <v>35</v>
      </c>
      <c r="M32" s="46" t="s">
        <v>36</v>
      </c>
      <c r="N32" s="44"/>
      <c r="O32" s="44"/>
      <c r="P32" s="44"/>
      <c r="Q32" s="44"/>
      <c r="R32" s="18"/>
      <c r="S32" s="18"/>
      <c r="T32" s="18"/>
      <c r="U32" s="35"/>
      <c r="V32" s="35"/>
    </row>
    <row r="33" spans="1:22" x14ac:dyDescent="0.2">
      <c r="A33" s="18"/>
      <c r="B33" s="18"/>
      <c r="C33" s="18"/>
      <c r="D33" s="44"/>
      <c r="E33" s="44"/>
      <c r="F33" s="44"/>
      <c r="G33" s="44"/>
      <c r="H33" s="44"/>
      <c r="I33" s="44"/>
      <c r="J33" s="46" t="s">
        <v>37</v>
      </c>
      <c r="K33" s="46">
        <v>889</v>
      </c>
      <c r="L33" s="46">
        <v>1201</v>
      </c>
      <c r="M33" s="46">
        <v>885</v>
      </c>
      <c r="N33" s="46">
        <v>889</v>
      </c>
      <c r="O33" s="44" t="s">
        <v>34</v>
      </c>
      <c r="P33" s="44"/>
      <c r="Q33" s="44"/>
      <c r="R33" s="18"/>
      <c r="S33" s="18"/>
      <c r="T33" s="18"/>
      <c r="U33" s="35"/>
      <c r="V33" s="35"/>
    </row>
    <row r="34" spans="1:22" x14ac:dyDescent="0.2">
      <c r="A34" s="18"/>
      <c r="B34" s="18"/>
      <c r="C34" s="18"/>
      <c r="D34" s="44"/>
      <c r="E34" s="44"/>
      <c r="F34" s="44"/>
      <c r="G34" s="44"/>
      <c r="H34" s="44"/>
      <c r="I34" s="44"/>
      <c r="J34" s="46">
        <v>885</v>
      </c>
      <c r="K34" s="46">
        <v>889</v>
      </c>
      <c r="L34" s="46">
        <v>1201</v>
      </c>
      <c r="M34" s="46"/>
      <c r="N34" s="46"/>
      <c r="O34" s="44"/>
      <c r="P34" s="44"/>
      <c r="Q34" s="44"/>
      <c r="R34" s="18"/>
      <c r="S34" s="18"/>
      <c r="T34" s="18"/>
      <c r="U34" s="35"/>
      <c r="V34" s="35"/>
    </row>
    <row r="35" spans="1:22" x14ac:dyDescent="0.2">
      <c r="A35" s="18"/>
      <c r="B35" s="18"/>
      <c r="C35" s="18"/>
      <c r="D35" s="44"/>
      <c r="E35" s="44"/>
      <c r="F35" s="44"/>
      <c r="G35" s="44"/>
      <c r="H35" s="44"/>
      <c r="I35" s="44"/>
      <c r="J35" s="46">
        <v>1158</v>
      </c>
      <c r="K35" s="46">
        <v>1041</v>
      </c>
      <c r="L35" s="46">
        <v>1201</v>
      </c>
      <c r="M35" s="46"/>
      <c r="N35" s="46"/>
      <c r="O35" s="44"/>
      <c r="P35" s="44"/>
      <c r="Q35" s="44"/>
      <c r="R35" s="18"/>
      <c r="S35" s="18"/>
      <c r="T35" s="18"/>
      <c r="U35" s="35"/>
      <c r="V35" s="35"/>
    </row>
    <row r="36" spans="1:22" x14ac:dyDescent="0.2">
      <c r="A36" s="18"/>
      <c r="B36" s="18"/>
      <c r="C36" s="1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18"/>
      <c r="S36" s="18"/>
      <c r="T36" s="18"/>
      <c r="U36" s="35"/>
      <c r="V36" s="35"/>
    </row>
    <row r="37" spans="1:22" x14ac:dyDescent="0.2">
      <c r="A37" s="18"/>
      <c r="B37" s="18"/>
      <c r="C37" s="18"/>
      <c r="D37" s="18"/>
      <c r="E37" s="18"/>
      <c r="F37" s="18"/>
      <c r="G37" s="18"/>
      <c r="H37" s="44"/>
      <c r="I37" s="44"/>
      <c r="J37" s="44"/>
      <c r="K37" s="46" t="s">
        <v>38</v>
      </c>
      <c r="L37" s="46"/>
      <c r="M37" s="46" t="s">
        <v>39</v>
      </c>
      <c r="N37" s="46"/>
      <c r="O37" s="44"/>
      <c r="P37" s="44"/>
      <c r="Q37" s="18"/>
      <c r="R37" s="18"/>
      <c r="S37" s="18"/>
      <c r="T37" s="18"/>
      <c r="U37" s="35"/>
      <c r="V37" s="35"/>
    </row>
    <row r="38" spans="1:22" x14ac:dyDescent="0.2">
      <c r="A38" s="18"/>
      <c r="B38" s="18"/>
      <c r="C38" s="18"/>
      <c r="D38" s="18"/>
      <c r="E38" s="18"/>
      <c r="F38" s="18"/>
      <c r="G38" s="18"/>
      <c r="H38" s="44"/>
      <c r="I38" s="44"/>
      <c r="J38" s="44">
        <v>700</v>
      </c>
      <c r="K38" s="46">
        <v>889</v>
      </c>
      <c r="L38" s="47">
        <f>K38*J38/1000</f>
        <v>622.29999999999995</v>
      </c>
      <c r="M38" s="46">
        <v>1201</v>
      </c>
      <c r="N38" s="44">
        <f>J38*M38/1000</f>
        <v>840.7</v>
      </c>
      <c r="O38" s="44">
        <v>700</v>
      </c>
      <c r="P38" s="44"/>
      <c r="Q38" s="18"/>
      <c r="R38" s="18"/>
      <c r="S38" s="18"/>
      <c r="T38" s="18"/>
      <c r="U38" s="35"/>
      <c r="V38" s="35"/>
    </row>
    <row r="39" spans="1:22" x14ac:dyDescent="0.2">
      <c r="A39" s="18"/>
      <c r="B39" s="18"/>
      <c r="C39" s="18"/>
      <c r="D39" s="18"/>
      <c r="E39" s="18"/>
      <c r="F39" s="18"/>
      <c r="G39" s="18"/>
      <c r="H39" s="44"/>
      <c r="I39" s="44"/>
      <c r="J39" s="44">
        <v>885</v>
      </c>
      <c r="K39" s="46">
        <v>889</v>
      </c>
      <c r="L39" s="47">
        <f>K39*J39/1000</f>
        <v>786.76499999999999</v>
      </c>
      <c r="M39" s="46">
        <v>1201</v>
      </c>
      <c r="N39" s="44">
        <f>J39*M39/1000</f>
        <v>1062.885</v>
      </c>
      <c r="O39" s="44">
        <v>885</v>
      </c>
      <c r="P39" s="44"/>
      <c r="Q39" s="18"/>
      <c r="R39" s="18"/>
      <c r="S39" s="18"/>
      <c r="T39" s="18"/>
      <c r="U39" s="35"/>
      <c r="V39" s="35"/>
    </row>
    <row r="40" spans="1:22" x14ac:dyDescent="0.2">
      <c r="A40" s="18"/>
      <c r="B40" s="18"/>
      <c r="C40" s="18"/>
      <c r="D40" s="18"/>
      <c r="E40" s="18"/>
      <c r="F40" s="18"/>
      <c r="G40" s="18"/>
      <c r="H40" s="44"/>
      <c r="I40" s="44"/>
      <c r="J40" s="44">
        <v>1158</v>
      </c>
      <c r="K40" s="46">
        <v>1041</v>
      </c>
      <c r="L40" s="47">
        <f>K40*J40/1000</f>
        <v>1205.4780000000001</v>
      </c>
      <c r="M40" s="46">
        <v>1201</v>
      </c>
      <c r="N40" s="44">
        <f>J40*M40/1000</f>
        <v>1390.758</v>
      </c>
      <c r="O40" s="44">
        <v>1158</v>
      </c>
      <c r="P40" s="44"/>
      <c r="Q40" s="18"/>
      <c r="R40" s="18"/>
      <c r="S40" s="18"/>
      <c r="T40" s="18"/>
      <c r="U40" s="35"/>
      <c r="V40" s="35"/>
    </row>
    <row r="41" spans="1:22" x14ac:dyDescent="0.2">
      <c r="A41" s="18"/>
      <c r="B41" s="18"/>
      <c r="C41" s="18"/>
      <c r="D41" s="18"/>
      <c r="E41" s="18"/>
      <c r="F41" s="18"/>
      <c r="G41" s="18"/>
      <c r="H41" s="44"/>
      <c r="I41" s="44"/>
      <c r="J41" s="44"/>
      <c r="K41" s="44"/>
      <c r="L41" s="44"/>
      <c r="M41" s="44"/>
      <c r="N41" s="44"/>
      <c r="O41" s="44"/>
      <c r="P41" s="44"/>
      <c r="Q41" s="18"/>
      <c r="R41" s="18"/>
      <c r="S41" s="18"/>
      <c r="T41" s="18"/>
      <c r="U41" s="35"/>
      <c r="V41" s="35"/>
    </row>
    <row r="42" spans="1:22" x14ac:dyDescent="0.2">
      <c r="A42" s="18"/>
      <c r="B42" s="18"/>
      <c r="C42" s="18"/>
      <c r="D42" s="18"/>
      <c r="E42" s="18"/>
      <c r="F42" s="18"/>
      <c r="G42" s="18"/>
      <c r="H42" s="46"/>
      <c r="I42" s="46"/>
      <c r="J42" s="44"/>
      <c r="K42" s="44"/>
      <c r="L42" s="44"/>
      <c r="M42" s="44"/>
      <c r="N42" s="44"/>
      <c r="O42" s="44"/>
      <c r="P42" s="44"/>
      <c r="Q42" s="18"/>
      <c r="R42" s="18"/>
      <c r="S42" s="18"/>
      <c r="T42" s="18"/>
      <c r="U42" s="35"/>
      <c r="V42" s="35"/>
    </row>
    <row r="43" spans="1:22" x14ac:dyDescent="0.2">
      <c r="A43" s="18"/>
      <c r="B43" s="18"/>
      <c r="C43" s="18"/>
      <c r="D43" s="18"/>
      <c r="E43" s="18"/>
      <c r="F43" s="18"/>
      <c r="G43" s="18"/>
      <c r="H43" s="44"/>
      <c r="I43" s="44"/>
      <c r="J43" s="44">
        <v>622.29999999999995</v>
      </c>
      <c r="K43" s="44">
        <v>700</v>
      </c>
      <c r="L43" s="44"/>
      <c r="M43" s="44">
        <v>840.7</v>
      </c>
      <c r="N43" s="44">
        <v>700</v>
      </c>
      <c r="O43" s="44"/>
      <c r="P43" s="44"/>
      <c r="Q43" s="18"/>
      <c r="R43" s="18"/>
      <c r="S43" s="18"/>
      <c r="T43" s="18"/>
      <c r="U43" s="35"/>
      <c r="V43" s="35"/>
    </row>
    <row r="44" spans="1:22" x14ac:dyDescent="0.2">
      <c r="A44" s="18"/>
      <c r="B44" s="18"/>
      <c r="C44" s="18"/>
      <c r="D44" s="18"/>
      <c r="E44" s="18"/>
      <c r="F44" s="18"/>
      <c r="G44" s="18"/>
      <c r="H44" s="44"/>
      <c r="I44" s="44"/>
      <c r="J44" s="44">
        <v>786.76499999999999</v>
      </c>
      <c r="K44" s="44">
        <v>885</v>
      </c>
      <c r="L44" s="44"/>
      <c r="M44" s="44">
        <v>1062.885</v>
      </c>
      <c r="N44" s="44">
        <v>885</v>
      </c>
      <c r="O44" s="44"/>
      <c r="P44" s="44"/>
      <c r="Q44" s="18"/>
      <c r="R44" s="18"/>
      <c r="S44" s="18"/>
      <c r="T44" s="18"/>
    </row>
    <row r="45" spans="1:22" x14ac:dyDescent="0.2">
      <c r="A45" s="18"/>
      <c r="B45" s="18"/>
      <c r="C45" s="18"/>
      <c r="D45" s="18"/>
      <c r="E45" s="18"/>
      <c r="F45" s="18"/>
      <c r="G45" s="18"/>
      <c r="H45" s="44"/>
      <c r="I45" s="44"/>
      <c r="J45" s="44">
        <v>1205.4780000000001</v>
      </c>
      <c r="K45" s="44">
        <v>1158</v>
      </c>
      <c r="L45" s="44"/>
      <c r="M45" s="44">
        <v>1390.758</v>
      </c>
      <c r="N45" s="44">
        <v>1158</v>
      </c>
      <c r="O45" s="44"/>
      <c r="P45" s="44"/>
      <c r="Q45" s="18"/>
      <c r="R45" s="18"/>
      <c r="S45" s="18"/>
      <c r="T45" s="18"/>
    </row>
    <row r="46" spans="1:22" x14ac:dyDescent="0.2">
      <c r="A46" s="18"/>
      <c r="B46" s="18"/>
      <c r="C46" s="18"/>
      <c r="D46" s="18"/>
      <c r="E46" s="18"/>
      <c r="F46" s="18"/>
      <c r="G46" s="18"/>
      <c r="H46" s="44"/>
      <c r="I46" s="44"/>
      <c r="J46" s="44">
        <v>1390.758</v>
      </c>
      <c r="K46" s="44">
        <v>1158</v>
      </c>
      <c r="L46" s="44"/>
      <c r="M46" s="44"/>
      <c r="N46" s="44"/>
      <c r="O46" s="44"/>
      <c r="P46" s="44"/>
      <c r="Q46" s="18"/>
      <c r="R46" s="18"/>
      <c r="S46" s="18"/>
      <c r="T46" s="18"/>
    </row>
    <row r="47" spans="1:22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2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2:20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</sheetData>
  <sheetProtection sheet="1" objects="1" scenarios="1"/>
  <mergeCells count="9">
    <mergeCell ref="G16:H16"/>
    <mergeCell ref="C15:D15"/>
    <mergeCell ref="F3:H3"/>
    <mergeCell ref="C5:D5"/>
    <mergeCell ref="C6:D6"/>
    <mergeCell ref="C9:D9"/>
    <mergeCell ref="C10:D10"/>
    <mergeCell ref="C11:D11"/>
    <mergeCell ref="C13:D13"/>
  </mergeCells>
  <conditionalFormatting sqref="C9:E9">
    <cfRule type="expression" dxfId="59" priority="5" stopIfTrue="1">
      <formula>"($F$9+$F$10)&gt;54"</formula>
    </cfRule>
  </conditionalFormatting>
  <conditionalFormatting sqref="D12:E12 D14:E14">
    <cfRule type="cellIs" dxfId="58" priority="1" stopIfTrue="1" operator="greaterThan">
      <formula>93</formula>
    </cfRule>
  </conditionalFormatting>
  <conditionalFormatting sqref="G9:G10">
    <cfRule type="expression" dxfId="57" priority="4" stopIfTrue="1">
      <formula>($G$9+$G$10)&gt;54</formula>
    </cfRule>
  </conditionalFormatting>
  <conditionalFormatting sqref="G11 G13:G14">
    <cfRule type="cellIs" dxfId="56" priority="2" stopIfTrue="1" operator="greaterThan">
      <formula>760</formula>
    </cfRule>
  </conditionalFormatting>
  <conditionalFormatting sqref="G15">
    <cfRule type="cellIs" dxfId="55" priority="3" stopIfTrue="1" operator="greaterThan">
      <formula>758</formula>
    </cfRule>
  </conditionalFormatting>
  <pageMargins left="0.7" right="0.7" top="0.78740157499999996" bottom="0.78740157499999996" header="0.3" footer="0.3"/>
  <pageSetup paperSize="9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71" r:id="rId4" name="Spinner 7">
              <controlPr defaultSize="0" autoPict="0">
                <anchor moveWithCells="1" sizeWithCells="1">
                  <from>
                    <xdr:col>4</xdr:col>
                    <xdr:colOff>28575</xdr:colOff>
                    <xdr:row>7</xdr:row>
                    <xdr:rowOff>28575</xdr:rowOff>
                  </from>
                  <to>
                    <xdr:col>4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5" name="Spinner 8">
              <controlPr defaultSize="0" autoPict="0">
                <anchor moveWithCells="1" siz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6" name="Spinner 9">
              <controlPr defaultSize="0" autoPict="0">
                <anchor moveWithCells="1" siz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4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7" name="Spinner 10">
              <controlPr defaultSize="0" autoPict="0">
                <anchor moveWithCells="1" siz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514350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8" name="Spinner 11">
              <controlPr defaultSiz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504825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9" name="Spinner 12">
              <controlPr defaultSiz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9658-938E-4621-BC33-9DBB4B28BF6B}">
  <dimension ref="A2:X61"/>
  <sheetViews>
    <sheetView zoomScaleNormal="100" workbookViewId="0">
      <selection activeCell="F11" sqref="F11"/>
    </sheetView>
  </sheetViews>
  <sheetFormatPr baseColWidth="10" defaultColWidth="10.5703125" defaultRowHeight="12.75" x14ac:dyDescent="0.2"/>
  <cols>
    <col min="1" max="1" width="5.28515625" customWidth="1"/>
    <col min="2" max="2" width="3.85546875" customWidth="1"/>
    <col min="3" max="3" width="32.7109375" customWidth="1"/>
    <col min="4" max="4" width="9.5703125" customWidth="1"/>
    <col min="5" max="5" width="5.5703125" style="42" customWidth="1"/>
    <col min="6" max="6" width="6.85546875" customWidth="1"/>
    <col min="7" max="7" width="7.5703125" customWidth="1"/>
    <col min="8" max="8" width="7.28515625" customWidth="1"/>
    <col min="9" max="9" width="9.85546875" customWidth="1"/>
    <col min="10" max="10" width="6.5703125" customWidth="1"/>
  </cols>
  <sheetData>
    <row r="2" spans="1:24" x14ac:dyDescent="0.2">
      <c r="F2" s="289" t="s">
        <v>120</v>
      </c>
      <c r="G2" s="289"/>
    </row>
    <row r="3" spans="1:24" x14ac:dyDescent="0.2">
      <c r="E3" s="157"/>
      <c r="F3" s="290" t="s">
        <v>120</v>
      </c>
      <c r="G3" s="290"/>
    </row>
    <row r="4" spans="1:24" x14ac:dyDescent="0.2">
      <c r="E4" s="157"/>
      <c r="F4" s="314" t="s">
        <v>121</v>
      </c>
      <c r="G4" s="314"/>
    </row>
    <row r="5" spans="1:24" ht="13.5" thickBot="1" x14ac:dyDescent="0.25">
      <c r="C5" s="18" t="s">
        <v>1</v>
      </c>
    </row>
    <row r="6" spans="1:24" ht="26.25" thickBot="1" x14ac:dyDescent="0.25">
      <c r="B6" s="7"/>
      <c r="C6" s="296" t="s">
        <v>122</v>
      </c>
      <c r="D6" s="297"/>
      <c r="E6" s="158"/>
      <c r="F6" s="151"/>
      <c r="G6" s="159" t="s">
        <v>123</v>
      </c>
      <c r="H6" s="158" t="s">
        <v>124</v>
      </c>
      <c r="I6" s="151" t="s">
        <v>125</v>
      </c>
      <c r="J6" s="152" t="s">
        <v>126</v>
      </c>
      <c r="O6" s="160"/>
    </row>
    <row r="7" spans="1:24" ht="23.25" customHeight="1" thickBot="1" x14ac:dyDescent="0.25">
      <c r="A7" s="12"/>
      <c r="B7" s="161" t="s">
        <v>7</v>
      </c>
      <c r="C7" s="298" t="s">
        <v>127</v>
      </c>
      <c r="D7" s="299"/>
      <c r="E7" s="162" t="s">
        <v>94</v>
      </c>
      <c r="F7" s="198"/>
      <c r="G7" s="153">
        <v>2037.6</v>
      </c>
      <c r="H7" s="162">
        <v>39.968000000000004</v>
      </c>
      <c r="I7" s="199">
        <f t="shared" ref="I7:I13" si="0">H7*G7</f>
        <v>81438.796799999996</v>
      </c>
      <c r="J7" s="201">
        <f>H7</f>
        <v>39.968000000000004</v>
      </c>
    </row>
    <row r="8" spans="1:24" ht="45.75" customHeight="1" thickBot="1" x14ac:dyDescent="0.25">
      <c r="A8" s="12"/>
      <c r="B8" s="163">
        <v>2</v>
      </c>
      <c r="C8" s="305" t="s">
        <v>128</v>
      </c>
      <c r="D8" s="306"/>
      <c r="E8" s="164" t="s">
        <v>96</v>
      </c>
      <c r="F8" s="191">
        <v>64</v>
      </c>
      <c r="G8" s="165">
        <f>F8*6.02</f>
        <v>385.28</v>
      </c>
      <c r="H8" s="164">
        <v>46.5</v>
      </c>
      <c r="I8" s="199">
        <f t="shared" si="0"/>
        <v>17915.52</v>
      </c>
      <c r="J8" s="202">
        <f>SUM(I7:I8)/SUM(G7:G8)</f>
        <v>41.006701446212773</v>
      </c>
    </row>
    <row r="9" spans="1:24" ht="24" customHeight="1" thickBot="1" x14ac:dyDescent="0.25">
      <c r="A9" s="12"/>
      <c r="B9" s="166">
        <v>3</v>
      </c>
      <c r="C9" s="307" t="s">
        <v>129</v>
      </c>
      <c r="D9" s="308"/>
      <c r="E9" s="164" t="s">
        <v>46</v>
      </c>
      <c r="F9" s="191">
        <v>180</v>
      </c>
      <c r="G9" s="165">
        <f>F9*2.204</f>
        <v>396.72</v>
      </c>
      <c r="H9" s="164">
        <v>37</v>
      </c>
      <c r="I9" s="199">
        <f t="shared" si="0"/>
        <v>14678.640000000001</v>
      </c>
      <c r="J9" s="202">
        <f>SUM(I7:I9)/SUM(G7:G9)</f>
        <v>40.442955312810319</v>
      </c>
    </row>
    <row r="10" spans="1:24" ht="23.25" customHeight="1" thickBot="1" x14ac:dyDescent="0.25">
      <c r="A10" s="12"/>
      <c r="B10" s="167">
        <v>4</v>
      </c>
      <c r="C10" s="309" t="s">
        <v>130</v>
      </c>
      <c r="D10" s="308"/>
      <c r="E10" s="164" t="s">
        <v>46</v>
      </c>
      <c r="F10" s="191">
        <v>80</v>
      </c>
      <c r="G10" s="165">
        <f>F10*2.204</f>
        <v>176.32000000000002</v>
      </c>
      <c r="H10" s="164">
        <v>74</v>
      </c>
      <c r="I10" s="199">
        <f t="shared" si="0"/>
        <v>13047.680000000002</v>
      </c>
      <c r="J10" s="202">
        <f>SUM(I7:I10)/SUM(G7:G10)</f>
        <v>42.417900611498297</v>
      </c>
    </row>
    <row r="11" spans="1:24" ht="24.75" customHeight="1" thickBot="1" x14ac:dyDescent="0.25">
      <c r="A11" s="12"/>
      <c r="B11" s="161">
        <v>5</v>
      </c>
      <c r="C11" s="300" t="s">
        <v>131</v>
      </c>
      <c r="D11" s="301"/>
      <c r="E11" s="164" t="s">
        <v>46</v>
      </c>
      <c r="F11" s="191">
        <v>10</v>
      </c>
      <c r="G11" s="165">
        <f>F11*2.204</f>
        <v>22.040000000000003</v>
      </c>
      <c r="H11" s="164">
        <v>97</v>
      </c>
      <c r="I11" s="199">
        <f t="shared" si="0"/>
        <v>2137.88</v>
      </c>
      <c r="J11" s="202">
        <f>SUM(I7:I11)/SUM(G7:G11)</f>
        <v>42.816510755609748</v>
      </c>
      <c r="X11">
        <f>SUM(F11:F13)</f>
        <v>30</v>
      </c>
    </row>
    <row r="12" spans="1:24" ht="24" customHeight="1" thickBot="1" x14ac:dyDescent="0.25">
      <c r="A12" s="12"/>
      <c r="B12" s="183">
        <v>6</v>
      </c>
      <c r="C12" s="302" t="s">
        <v>132</v>
      </c>
      <c r="D12" s="303"/>
      <c r="E12" s="164" t="s">
        <v>46</v>
      </c>
      <c r="F12" s="191">
        <v>10</v>
      </c>
      <c r="G12" s="165">
        <f>F12*2.204</f>
        <v>22.040000000000003</v>
      </c>
      <c r="H12" s="164">
        <v>116</v>
      </c>
      <c r="I12" s="199">
        <f t="shared" si="0"/>
        <v>2556.6400000000003</v>
      </c>
      <c r="J12" s="202">
        <f>SUM(I7:I12)/SUM(G7:G12)</f>
        <v>43.347091052631583</v>
      </c>
      <c r="X12">
        <f>SUM(F12:F13)</f>
        <v>20</v>
      </c>
    </row>
    <row r="13" spans="1:24" ht="24" customHeight="1" thickTop="1" thickBot="1" x14ac:dyDescent="0.25">
      <c r="A13" s="12"/>
      <c r="B13" s="168">
        <v>7</v>
      </c>
      <c r="C13" s="291" t="s">
        <v>133</v>
      </c>
      <c r="D13" s="292"/>
      <c r="E13" s="164" t="s">
        <v>46</v>
      </c>
      <c r="F13" s="191">
        <v>10</v>
      </c>
      <c r="G13" s="165">
        <f>F13*2.204</f>
        <v>22.040000000000003</v>
      </c>
      <c r="H13" s="164">
        <v>129</v>
      </c>
      <c r="I13" s="199">
        <f t="shared" si="0"/>
        <v>2843.1600000000003</v>
      </c>
      <c r="J13" s="202">
        <f>SUM(I7:I13)/SUM(G7:G13)</f>
        <v>43.963604916983449</v>
      </c>
    </row>
    <row r="14" spans="1:24" ht="24" customHeight="1" thickTop="1" thickBot="1" x14ac:dyDescent="0.25">
      <c r="A14" s="12"/>
      <c r="B14" s="169">
        <v>8</v>
      </c>
      <c r="C14" s="302" t="s">
        <v>134</v>
      </c>
      <c r="D14" s="304"/>
      <c r="E14" s="164" t="s">
        <v>94</v>
      </c>
      <c r="F14" s="193"/>
      <c r="G14" s="165">
        <f>SUM(G7:G13)</f>
        <v>3062.0400000000004</v>
      </c>
      <c r="H14" s="170">
        <f>I14/G14</f>
        <v>43.963604916983449</v>
      </c>
      <c r="I14" s="199">
        <f>SUM(I7:I13)</f>
        <v>134618.31680000003</v>
      </c>
      <c r="J14" s="202">
        <f>H14</f>
        <v>43.963604916983449</v>
      </c>
    </row>
    <row r="15" spans="1:24" ht="24" customHeight="1" thickBot="1" x14ac:dyDescent="0.25">
      <c r="A15" s="12"/>
      <c r="B15" s="171">
        <v>9</v>
      </c>
      <c r="C15" s="310" t="s">
        <v>135</v>
      </c>
      <c r="D15" s="306"/>
      <c r="E15" s="172" t="s">
        <v>96</v>
      </c>
      <c r="F15" s="192">
        <v>1.5</v>
      </c>
      <c r="G15" s="165">
        <f>F15*6*-1</f>
        <v>-9</v>
      </c>
      <c r="H15" s="172">
        <f>-1/20</f>
        <v>-0.05</v>
      </c>
      <c r="I15" s="199">
        <f>H15*G15*-1</f>
        <v>-0.45</v>
      </c>
      <c r="J15" s="202"/>
    </row>
    <row r="16" spans="1:24" ht="24" customHeight="1" thickBot="1" x14ac:dyDescent="0.25">
      <c r="A16" s="12"/>
      <c r="B16" s="188">
        <v>10</v>
      </c>
      <c r="C16" s="302" t="s">
        <v>136</v>
      </c>
      <c r="D16" s="304"/>
      <c r="E16" s="184" t="s">
        <v>94</v>
      </c>
      <c r="F16" s="194"/>
      <c r="G16" s="185">
        <f>SUM(G14:G15)</f>
        <v>3053.0400000000004</v>
      </c>
      <c r="H16" s="186">
        <f>SUM(H14:H15)</f>
        <v>43.913604916983452</v>
      </c>
      <c r="I16" s="200">
        <f>SUM(I14:I15)</f>
        <v>134617.86680000002</v>
      </c>
      <c r="J16" s="203">
        <f>H16</f>
        <v>43.913604916983452</v>
      </c>
    </row>
    <row r="17" spans="1:22" ht="24.75" customHeight="1" thickTop="1" thickBot="1" x14ac:dyDescent="0.25">
      <c r="A17" s="12"/>
      <c r="B17" s="161">
        <v>11</v>
      </c>
      <c r="C17" s="302" t="s">
        <v>137</v>
      </c>
      <c r="D17" s="304"/>
      <c r="E17" s="195" t="s">
        <v>96</v>
      </c>
      <c r="F17" s="196">
        <f>MAX(0,G17/6)</f>
        <v>17.173333333333403</v>
      </c>
      <c r="G17" s="197">
        <f>G16-2950</f>
        <v>103.04000000000042</v>
      </c>
      <c r="H17" s="311"/>
      <c r="I17" s="312"/>
      <c r="J17" s="313"/>
    </row>
    <row r="18" spans="1:22" ht="24.75" customHeight="1" thickBot="1" x14ac:dyDescent="0.25">
      <c r="C18" s="293" t="s">
        <v>138</v>
      </c>
      <c r="D18" s="294"/>
      <c r="E18" s="294"/>
      <c r="F18" s="294"/>
      <c r="G18" s="294"/>
      <c r="H18" s="294"/>
      <c r="I18" s="294"/>
      <c r="J18" s="294"/>
    </row>
    <row r="19" spans="1:22" ht="21" customHeight="1" thickBot="1" x14ac:dyDescent="0.25">
      <c r="C19" s="154" t="str">
        <f>'OE-CFF'!G16</f>
        <v>Version V30</v>
      </c>
      <c r="E19" s="173"/>
      <c r="F19" s="295" t="s">
        <v>104</v>
      </c>
      <c r="G19" s="295"/>
      <c r="H19" s="295"/>
      <c r="I19" s="295"/>
      <c r="L19" s="187"/>
    </row>
    <row r="20" spans="1:22" ht="15.75" customHeight="1" x14ac:dyDescent="0.2">
      <c r="C20" s="287" t="str">
        <f>IF(G11&gt;120,"Max. Gepäckzuladung 'A' überschritten!","")</f>
        <v/>
      </c>
      <c r="D20" s="287"/>
      <c r="E20" s="174"/>
      <c r="F20" s="285" t="s">
        <v>139</v>
      </c>
      <c r="G20" s="285"/>
      <c r="H20" s="175">
        <v>3100</v>
      </c>
      <c r="I20" s="176">
        <f>H20/2.204</f>
        <v>1406.5335753176043</v>
      </c>
    </row>
    <row r="21" spans="1:22" ht="15.75" customHeight="1" x14ac:dyDescent="0.2">
      <c r="C21" s="287" t="str">
        <f>IF(G12&gt;80,"Max. Gepäckzuladung 'B' überschritten!","")</f>
        <v/>
      </c>
      <c r="D21" s="287"/>
      <c r="E21" s="174"/>
      <c r="F21" s="285" t="s">
        <v>106</v>
      </c>
      <c r="G21" s="285"/>
      <c r="H21" s="175">
        <v>120</v>
      </c>
      <c r="I21" s="176">
        <f>H21*2.204</f>
        <v>264.48</v>
      </c>
    </row>
    <row r="22" spans="1:22" ht="15.75" customHeight="1" x14ac:dyDescent="0.2">
      <c r="C22" s="287" t="str">
        <f>IF(G13&gt;80,"Max. Gepäckzuladung 'C' überschritten!","")</f>
        <v/>
      </c>
      <c r="D22" s="287"/>
      <c r="E22" s="174"/>
      <c r="F22" s="285" t="s">
        <v>87</v>
      </c>
      <c r="G22" s="285"/>
      <c r="H22" s="175">
        <v>87</v>
      </c>
      <c r="I22" s="176">
        <f>H22*3.7854</f>
        <v>329.32980000000003</v>
      </c>
    </row>
    <row r="23" spans="1:22" ht="15.75" customHeight="1" x14ac:dyDescent="0.2">
      <c r="C23" s="288" t="str">
        <f>IF(SUM(G12:G13)&gt;80,"Zulässige gemeinsame Zulandung (80 lbs) im Baggage B &amp; C überschritten","")</f>
        <v/>
      </c>
      <c r="D23" s="288"/>
      <c r="E23" s="174"/>
      <c r="F23" s="285" t="s">
        <v>88</v>
      </c>
      <c r="G23" s="285"/>
      <c r="H23" s="175">
        <v>100</v>
      </c>
      <c r="I23" s="176">
        <f>H23/3.7854</f>
        <v>26.417287472922279</v>
      </c>
    </row>
    <row r="24" spans="1:22" ht="15.75" customHeight="1" thickBot="1" x14ac:dyDescent="0.25">
      <c r="C24" s="288"/>
      <c r="D24" s="288"/>
      <c r="E24" s="174"/>
      <c r="F24" s="286" t="s">
        <v>107</v>
      </c>
      <c r="G24" s="286"/>
      <c r="H24" s="178">
        <v>64</v>
      </c>
      <c r="I24" s="179">
        <f>H24*6.02</f>
        <v>385.28</v>
      </c>
    </row>
    <row r="25" spans="1:22" ht="15.75" customHeight="1" x14ac:dyDescent="0.2">
      <c r="C25" s="284" t="str">
        <f>IF(SUM(G11:G13)&gt;200,"Zulässige Gesamtzulandung (200 lbs) im Baggage A-C überschritten","")</f>
        <v/>
      </c>
      <c r="D25" s="284"/>
      <c r="E25" s="174"/>
    </row>
    <row r="26" spans="1:22" ht="15.75" customHeight="1" x14ac:dyDescent="0.2">
      <c r="C26" s="284"/>
      <c r="D26" s="284"/>
      <c r="E26" s="174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 ht="15.75" x14ac:dyDescent="0.2">
      <c r="C27" s="189"/>
      <c r="D27" s="44"/>
      <c r="E27" s="46"/>
      <c r="F27" s="44"/>
      <c r="G27" s="44"/>
      <c r="H27" s="45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81"/>
      <c r="T27" s="181"/>
      <c r="U27" s="181"/>
      <c r="V27" s="181"/>
    </row>
    <row r="28" spans="1:22" x14ac:dyDescent="0.2">
      <c r="C28" s="44"/>
      <c r="D28" s="44"/>
      <c r="E28" s="46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81"/>
      <c r="T28" s="181"/>
      <c r="U28" s="181"/>
      <c r="V28" s="181"/>
    </row>
    <row r="29" spans="1:22" x14ac:dyDescent="0.2">
      <c r="A29" s="155"/>
      <c r="B29" s="155"/>
      <c r="C29" s="44"/>
      <c r="D29" s="44"/>
      <c r="E29" s="44"/>
      <c r="F29" s="44" t="s">
        <v>140</v>
      </c>
      <c r="G29" s="44" t="s">
        <v>141</v>
      </c>
      <c r="H29" s="44" t="s">
        <v>142</v>
      </c>
      <c r="I29" s="46" t="s">
        <v>143</v>
      </c>
      <c r="J29" s="44" t="s">
        <v>144</v>
      </c>
      <c r="K29" s="44" t="s">
        <v>145</v>
      </c>
      <c r="L29" s="44" t="s">
        <v>146</v>
      </c>
      <c r="M29" s="44" t="s">
        <v>147</v>
      </c>
      <c r="N29" s="44" t="s">
        <v>148</v>
      </c>
      <c r="O29" s="44" t="s">
        <v>149</v>
      </c>
      <c r="P29" s="44"/>
      <c r="Q29" s="44"/>
      <c r="R29" s="44"/>
      <c r="S29" s="181"/>
      <c r="T29" s="181"/>
      <c r="U29" s="181"/>
      <c r="V29" s="181"/>
    </row>
    <row r="30" spans="1:22" x14ac:dyDescent="0.2">
      <c r="A30" s="155"/>
      <c r="B30" s="155"/>
      <c r="C30" s="44"/>
      <c r="D30" s="44"/>
      <c r="E30" s="177">
        <v>33</v>
      </c>
      <c r="F30" s="44">
        <v>1900</v>
      </c>
      <c r="G30" s="44">
        <v>1900</v>
      </c>
      <c r="H30" s="44">
        <v>1900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81"/>
      <c r="T30" s="181"/>
      <c r="U30" s="181"/>
      <c r="V30" s="181"/>
    </row>
    <row r="31" spans="1:22" x14ac:dyDescent="0.2">
      <c r="A31" s="155"/>
      <c r="B31" s="155"/>
      <c r="C31" s="44"/>
      <c r="D31" s="44"/>
      <c r="E31" s="177">
        <v>33</v>
      </c>
      <c r="F31" s="44">
        <v>2250</v>
      </c>
      <c r="G31" s="44">
        <v>2250</v>
      </c>
      <c r="H31" s="44">
        <v>2250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81"/>
      <c r="T31" s="181"/>
      <c r="U31" s="181"/>
      <c r="V31" s="181"/>
    </row>
    <row r="32" spans="1:22" x14ac:dyDescent="0.2">
      <c r="A32" s="155"/>
      <c r="B32" s="155"/>
      <c r="C32" s="44"/>
      <c r="D32" s="44"/>
      <c r="E32" s="177">
        <v>34</v>
      </c>
      <c r="F32" s="44"/>
      <c r="G32" s="44"/>
      <c r="H32" s="44">
        <v>2413.5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81"/>
      <c r="T32" s="181"/>
      <c r="U32" s="181"/>
      <c r="V32" s="181"/>
    </row>
    <row r="33" spans="1:22" x14ac:dyDescent="0.2">
      <c r="A33" s="155"/>
      <c r="B33" s="155"/>
      <c r="C33" s="44"/>
      <c r="D33" s="44"/>
      <c r="E33" s="177">
        <v>34</v>
      </c>
      <c r="F33" s="44"/>
      <c r="G33" s="44"/>
      <c r="H33" s="44">
        <v>1900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81"/>
      <c r="T33" s="181"/>
      <c r="U33" s="181"/>
      <c r="V33" s="181"/>
    </row>
    <row r="34" spans="1:22" x14ac:dyDescent="0.2">
      <c r="A34" s="155"/>
      <c r="B34" s="155"/>
      <c r="C34" s="44"/>
      <c r="D34" s="44" t="s">
        <v>25</v>
      </c>
      <c r="E34" s="177">
        <v>35.799999999999997</v>
      </c>
      <c r="F34" s="44">
        <v>2700</v>
      </c>
      <c r="G34" s="44">
        <v>2700</v>
      </c>
      <c r="H34" s="44"/>
      <c r="I34" s="44"/>
      <c r="J34" s="44"/>
      <c r="K34" s="44"/>
      <c r="L34" s="44"/>
      <c r="M34" s="44"/>
      <c r="N34" s="44"/>
      <c r="O34" s="44"/>
      <c r="P34" s="46"/>
      <c r="Q34" s="46"/>
      <c r="R34" s="46"/>
      <c r="S34" s="181"/>
      <c r="T34" s="181"/>
      <c r="U34" s="181"/>
      <c r="V34" s="181"/>
    </row>
    <row r="35" spans="1:22" x14ac:dyDescent="0.2">
      <c r="A35" s="155"/>
      <c r="B35" s="155"/>
      <c r="C35" s="44"/>
      <c r="D35" s="190" t="s">
        <v>27</v>
      </c>
      <c r="E35" s="177">
        <v>39</v>
      </c>
      <c r="F35" s="44">
        <v>2945</v>
      </c>
      <c r="G35" s="44"/>
      <c r="H35" s="44"/>
      <c r="I35" s="44"/>
      <c r="J35" s="44"/>
      <c r="K35" s="44"/>
      <c r="L35" s="44"/>
      <c r="M35" s="44"/>
      <c r="N35" s="44"/>
      <c r="O35" s="44"/>
      <c r="P35" s="46"/>
      <c r="Q35" s="46"/>
      <c r="R35" s="46"/>
      <c r="S35" s="181"/>
      <c r="T35" s="181"/>
      <c r="U35" s="181"/>
      <c r="V35" s="181"/>
    </row>
    <row r="36" spans="1:22" x14ac:dyDescent="0.2">
      <c r="A36" s="155"/>
      <c r="B36" s="155"/>
      <c r="C36" s="44"/>
      <c r="D36" s="190" t="s">
        <v>28</v>
      </c>
      <c r="E36" s="177">
        <v>41</v>
      </c>
      <c r="F36" s="44"/>
      <c r="G36" s="44">
        <v>3100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81"/>
      <c r="T36" s="181"/>
      <c r="U36" s="181"/>
      <c r="V36" s="181"/>
    </row>
    <row r="37" spans="1:22" x14ac:dyDescent="0.2">
      <c r="A37" s="155"/>
      <c r="B37" s="155"/>
      <c r="C37" s="44"/>
      <c r="D37" s="44" t="s">
        <v>29</v>
      </c>
      <c r="E37" s="177">
        <v>46</v>
      </c>
      <c r="F37" s="44"/>
      <c r="G37" s="44">
        <v>3100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81"/>
      <c r="T37" s="181"/>
      <c r="U37" s="181"/>
      <c r="V37" s="181"/>
    </row>
    <row r="38" spans="1:22" x14ac:dyDescent="0.2">
      <c r="A38" s="155"/>
      <c r="B38" s="155"/>
      <c r="C38" s="44"/>
      <c r="D38" s="44" t="s">
        <v>30</v>
      </c>
      <c r="E38" s="177">
        <v>46</v>
      </c>
      <c r="F38" s="44">
        <v>2950</v>
      </c>
      <c r="G38" s="44"/>
      <c r="H38" s="44"/>
      <c r="I38" s="44"/>
      <c r="J38" s="44"/>
      <c r="K38" s="44"/>
      <c r="L38" s="44"/>
      <c r="M38" s="44"/>
      <c r="N38" s="44"/>
      <c r="O38" s="180"/>
      <c r="P38" s="44"/>
      <c r="Q38" s="44"/>
      <c r="R38" s="44"/>
      <c r="S38" s="181"/>
      <c r="T38" s="181"/>
      <c r="U38" s="181"/>
      <c r="V38" s="181"/>
    </row>
    <row r="39" spans="1:22" x14ac:dyDescent="0.2">
      <c r="A39" s="155"/>
      <c r="B39" s="155"/>
      <c r="C39" s="44"/>
      <c r="D39" s="44" t="s">
        <v>31</v>
      </c>
      <c r="E39" s="177">
        <v>46</v>
      </c>
      <c r="F39" s="44">
        <v>1900</v>
      </c>
      <c r="G39" s="44">
        <v>1900</v>
      </c>
      <c r="H39" s="44"/>
      <c r="I39" s="44"/>
      <c r="J39" s="44"/>
      <c r="K39" s="44"/>
      <c r="L39" s="44"/>
      <c r="M39" s="44"/>
      <c r="N39" s="44"/>
      <c r="O39" s="180"/>
      <c r="P39" s="44"/>
      <c r="Q39" s="44"/>
      <c r="R39" s="44"/>
      <c r="S39" s="181"/>
      <c r="T39" s="181"/>
      <c r="U39" s="181"/>
      <c r="V39" s="181"/>
    </row>
    <row r="40" spans="1:22" x14ac:dyDescent="0.2">
      <c r="A40" s="155"/>
      <c r="B40" s="155"/>
      <c r="C40" s="44"/>
      <c r="D40" s="44"/>
      <c r="E40" s="177"/>
      <c r="F40" s="44"/>
      <c r="G40" s="44"/>
      <c r="H40" s="44"/>
      <c r="I40" s="44"/>
      <c r="J40" s="44"/>
      <c r="K40" s="44"/>
      <c r="L40" s="44"/>
      <c r="M40" s="44"/>
      <c r="N40" s="44"/>
      <c r="O40" s="180"/>
      <c r="P40" s="44"/>
      <c r="Q40" s="44"/>
      <c r="R40" s="44"/>
      <c r="S40" s="181"/>
      <c r="T40" s="181"/>
      <c r="U40" s="181"/>
      <c r="V40" s="181"/>
    </row>
    <row r="41" spans="1:22" x14ac:dyDescent="0.2">
      <c r="A41" s="155"/>
      <c r="B41" s="155"/>
      <c r="C41" s="44"/>
      <c r="D41" s="44"/>
      <c r="E41" s="177">
        <f>H7</f>
        <v>39.968000000000004</v>
      </c>
      <c r="F41" s="44"/>
      <c r="G41" s="48"/>
      <c r="H41" s="44"/>
      <c r="I41" s="180">
        <f>G7</f>
        <v>2037.6</v>
      </c>
      <c r="J41" s="180">
        <f>I41</f>
        <v>2037.6</v>
      </c>
      <c r="K41" s="44"/>
      <c r="L41" s="44"/>
      <c r="M41" s="44"/>
      <c r="N41" s="44"/>
      <c r="O41" s="44"/>
      <c r="P41" s="44"/>
      <c r="Q41" s="44"/>
      <c r="R41" s="44"/>
      <c r="S41" s="181"/>
      <c r="T41" s="181"/>
      <c r="U41" s="181"/>
      <c r="V41" s="181"/>
    </row>
    <row r="42" spans="1:22" x14ac:dyDescent="0.2">
      <c r="A42" s="155"/>
      <c r="B42" s="155"/>
      <c r="C42" s="44"/>
      <c r="D42" s="44"/>
      <c r="E42" s="177">
        <v>40.799999999999997</v>
      </c>
      <c r="F42" s="44"/>
      <c r="G42" s="44"/>
      <c r="H42" s="44"/>
      <c r="I42" s="44"/>
      <c r="J42" s="180">
        <f>J41+G8+G15</f>
        <v>2413.88</v>
      </c>
      <c r="K42" s="180">
        <f>J42</f>
        <v>2413.88</v>
      </c>
      <c r="L42" s="44"/>
      <c r="M42" s="44"/>
      <c r="N42" s="44"/>
      <c r="O42" s="44"/>
      <c r="P42" s="44"/>
      <c r="Q42" s="44"/>
      <c r="R42" s="44"/>
      <c r="S42" s="181"/>
      <c r="T42" s="181"/>
      <c r="U42" s="181"/>
      <c r="V42" s="181"/>
    </row>
    <row r="43" spans="1:22" x14ac:dyDescent="0.2">
      <c r="A43" s="155"/>
      <c r="B43" s="155"/>
      <c r="C43" s="44"/>
      <c r="D43" s="44"/>
      <c r="E43" s="177">
        <f t="shared" ref="E43:E47" si="1">J9</f>
        <v>40.442955312810319</v>
      </c>
      <c r="F43" s="44"/>
      <c r="G43" s="44"/>
      <c r="H43" s="44"/>
      <c r="I43" s="44"/>
      <c r="J43" s="44"/>
      <c r="K43" s="180">
        <f>K42+G9</f>
        <v>2810.6000000000004</v>
      </c>
      <c r="L43" s="180">
        <f>K43</f>
        <v>2810.6000000000004</v>
      </c>
      <c r="M43" s="46"/>
      <c r="N43" s="46"/>
      <c r="O43" s="46"/>
      <c r="P43" s="44"/>
      <c r="Q43" s="44"/>
      <c r="R43" s="44"/>
      <c r="S43" s="181"/>
      <c r="T43" s="181"/>
      <c r="U43" s="181"/>
      <c r="V43" s="181"/>
    </row>
    <row r="44" spans="1:22" x14ac:dyDescent="0.2">
      <c r="A44" s="155"/>
      <c r="B44" s="155"/>
      <c r="C44" s="44"/>
      <c r="D44" s="44"/>
      <c r="E44" s="177">
        <f t="shared" si="1"/>
        <v>42.417900611498297</v>
      </c>
      <c r="F44" s="44"/>
      <c r="G44" s="44"/>
      <c r="H44" s="44"/>
      <c r="I44" s="44"/>
      <c r="J44" s="44"/>
      <c r="K44" s="44"/>
      <c r="L44" s="180">
        <f>L43+G10</f>
        <v>2986.9200000000005</v>
      </c>
      <c r="M44" s="180">
        <f>L44</f>
        <v>2986.9200000000005</v>
      </c>
      <c r="N44" s="46"/>
      <c r="O44" s="46"/>
      <c r="P44" s="44"/>
      <c r="Q44" s="44"/>
      <c r="R44" s="44"/>
      <c r="S44" s="181"/>
      <c r="T44" s="181"/>
      <c r="U44" s="181"/>
      <c r="V44" s="181"/>
    </row>
    <row r="45" spans="1:22" x14ac:dyDescent="0.2">
      <c r="A45" s="155"/>
      <c r="B45" s="155"/>
      <c r="C45" s="44"/>
      <c r="D45" s="44"/>
      <c r="E45" s="177">
        <f t="shared" si="1"/>
        <v>42.816510755609748</v>
      </c>
      <c r="F45" s="44"/>
      <c r="G45" s="44"/>
      <c r="H45" s="44"/>
      <c r="I45" s="44"/>
      <c r="J45" s="44"/>
      <c r="K45" s="44"/>
      <c r="L45" s="177"/>
      <c r="M45" s="180">
        <f>M44+G11</f>
        <v>3008.9600000000005</v>
      </c>
      <c r="N45" s="180">
        <f>M45</f>
        <v>3008.9600000000005</v>
      </c>
      <c r="O45" s="46"/>
      <c r="P45" s="44"/>
      <c r="Q45" s="44"/>
      <c r="R45" s="44"/>
      <c r="S45" s="181"/>
      <c r="T45" s="181"/>
      <c r="U45" s="181"/>
      <c r="V45" s="181"/>
    </row>
    <row r="46" spans="1:22" x14ac:dyDescent="0.2">
      <c r="A46" s="155"/>
      <c r="B46" s="155"/>
      <c r="C46" s="44"/>
      <c r="D46" s="44"/>
      <c r="E46" s="177">
        <f t="shared" si="1"/>
        <v>43.347091052631583</v>
      </c>
      <c r="F46" s="44"/>
      <c r="G46" s="44"/>
      <c r="H46" s="44"/>
      <c r="I46" s="44"/>
      <c r="J46" s="44"/>
      <c r="K46" s="44"/>
      <c r="L46" s="177"/>
      <c r="M46" s="44"/>
      <c r="N46" s="180">
        <f>N45+G12</f>
        <v>3031.0000000000005</v>
      </c>
      <c r="O46" s="180">
        <f>N46</f>
        <v>3031.0000000000005</v>
      </c>
      <c r="P46" s="44"/>
      <c r="Q46" s="44"/>
      <c r="R46" s="44"/>
      <c r="S46" s="181"/>
      <c r="T46" s="181"/>
      <c r="U46" s="181"/>
      <c r="V46" s="181"/>
    </row>
    <row r="47" spans="1:22" x14ac:dyDescent="0.2">
      <c r="A47" s="155"/>
      <c r="B47" s="155"/>
      <c r="C47" s="44"/>
      <c r="D47" s="44"/>
      <c r="E47" s="177">
        <f t="shared" si="1"/>
        <v>43.963604916983449</v>
      </c>
      <c r="F47" s="44"/>
      <c r="G47" s="44"/>
      <c r="H47" s="44"/>
      <c r="I47" s="44"/>
      <c r="J47" s="44"/>
      <c r="K47" s="44"/>
      <c r="L47" s="177"/>
      <c r="M47" s="44"/>
      <c r="N47" s="44"/>
      <c r="O47" s="180">
        <f>O46+G13</f>
        <v>3053.0400000000004</v>
      </c>
      <c r="P47" s="44"/>
      <c r="Q47" s="44"/>
      <c r="R47" s="44"/>
      <c r="S47" s="181"/>
      <c r="T47" s="181"/>
      <c r="U47" s="181"/>
      <c r="V47" s="181"/>
    </row>
    <row r="48" spans="1:22" x14ac:dyDescent="0.2">
      <c r="A48" s="155"/>
      <c r="B48" s="155"/>
      <c r="C48" s="44"/>
      <c r="D48" s="44"/>
      <c r="E48" s="177">
        <f>J16</f>
        <v>43.913604916983452</v>
      </c>
      <c r="F48" s="44"/>
      <c r="G48" s="44"/>
      <c r="H48" s="44"/>
      <c r="I48" s="44"/>
      <c r="J48" s="44"/>
      <c r="K48" s="44"/>
      <c r="L48" s="177"/>
      <c r="M48" s="46"/>
      <c r="N48" s="46" t="s">
        <v>39</v>
      </c>
      <c r="O48" s="46"/>
      <c r="P48" s="44"/>
      <c r="Q48" s="44"/>
      <c r="R48" s="44"/>
      <c r="S48" s="181"/>
      <c r="T48" s="181"/>
      <c r="U48" s="181"/>
      <c r="V48" s="181"/>
    </row>
    <row r="49" spans="1:22" x14ac:dyDescent="0.2">
      <c r="A49" s="155"/>
      <c r="B49" s="155"/>
      <c r="C49" s="44"/>
      <c r="D49" s="44"/>
      <c r="E49" s="46"/>
      <c r="F49" s="44"/>
      <c r="G49" s="44"/>
      <c r="H49" s="44"/>
      <c r="I49" s="44"/>
      <c r="J49" s="44"/>
      <c r="K49" s="44">
        <v>700</v>
      </c>
      <c r="L49" s="46">
        <v>889</v>
      </c>
      <c r="M49" s="47">
        <f>L49*K49/1000</f>
        <v>622.29999999999995</v>
      </c>
      <c r="N49" s="46">
        <v>1201</v>
      </c>
      <c r="O49" s="44">
        <f>K49*N49/1000</f>
        <v>840.7</v>
      </c>
      <c r="P49" s="44"/>
      <c r="Q49" s="44"/>
      <c r="R49" s="44"/>
      <c r="S49" s="181"/>
      <c r="T49" s="181"/>
      <c r="U49" s="181"/>
      <c r="V49" s="181"/>
    </row>
    <row r="50" spans="1:22" x14ac:dyDescent="0.2">
      <c r="A50" s="155"/>
      <c r="B50" s="155"/>
      <c r="C50" s="44"/>
      <c r="D50" s="44"/>
      <c r="E50" s="46"/>
      <c r="F50" s="44"/>
      <c r="G50" s="44"/>
      <c r="H50" s="44"/>
      <c r="I50" s="44"/>
      <c r="J50" s="44"/>
      <c r="K50" s="44">
        <v>885</v>
      </c>
      <c r="L50" s="46">
        <v>889</v>
      </c>
      <c r="M50" s="47">
        <f>L50*K50/1000</f>
        <v>786.76499999999999</v>
      </c>
      <c r="N50" s="46">
        <v>1201</v>
      </c>
      <c r="O50" s="44">
        <f>K50*N50/1000</f>
        <v>1062.885</v>
      </c>
      <c r="P50" s="44"/>
      <c r="Q50" s="44"/>
      <c r="R50" s="44"/>
      <c r="S50" s="181"/>
      <c r="T50" s="181"/>
      <c r="U50" s="181"/>
      <c r="V50" s="181"/>
    </row>
    <row r="51" spans="1:22" x14ac:dyDescent="0.2">
      <c r="A51" s="155"/>
      <c r="B51" s="155"/>
      <c r="C51" s="44"/>
      <c r="D51" s="44"/>
      <c r="E51" s="46"/>
      <c r="F51" s="44"/>
      <c r="G51" s="44"/>
      <c r="H51" s="44"/>
      <c r="I51" s="44"/>
      <c r="J51" s="44"/>
      <c r="K51" s="44">
        <v>1158</v>
      </c>
      <c r="L51" s="46">
        <v>1041</v>
      </c>
      <c r="M51" s="47">
        <f>L51*K51/1000</f>
        <v>1205.4780000000001</v>
      </c>
      <c r="N51" s="46">
        <v>1201</v>
      </c>
      <c r="O51" s="44">
        <f>K51*N51/1000</f>
        <v>1390.758</v>
      </c>
      <c r="P51" s="44"/>
      <c r="Q51" s="44"/>
      <c r="R51" s="44"/>
      <c r="S51" s="181"/>
      <c r="T51" s="181"/>
      <c r="U51" s="181"/>
      <c r="V51" s="181"/>
    </row>
    <row r="52" spans="1:22" x14ac:dyDescent="0.2">
      <c r="A52" s="155"/>
      <c r="B52" s="155"/>
      <c r="C52" s="44"/>
      <c r="D52" s="44"/>
      <c r="E52" s="46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181"/>
      <c r="T52" s="181"/>
      <c r="U52" s="156"/>
      <c r="V52" s="156"/>
    </row>
    <row r="53" spans="1:22" x14ac:dyDescent="0.2">
      <c r="A53" s="155"/>
      <c r="B53" s="155"/>
      <c r="C53" s="44"/>
      <c r="D53" s="44"/>
      <c r="E53" s="46"/>
      <c r="F53" s="44"/>
      <c r="G53" s="44"/>
      <c r="H53" s="44"/>
      <c r="I53" s="46"/>
      <c r="J53" s="46"/>
      <c r="K53" s="44"/>
      <c r="L53" s="44"/>
      <c r="M53" s="44"/>
      <c r="N53" s="44"/>
      <c r="O53" s="44"/>
      <c r="P53" s="44"/>
      <c r="Q53" s="44"/>
      <c r="R53" s="44"/>
      <c r="S53" s="181"/>
      <c r="T53" s="181"/>
      <c r="U53" s="156"/>
      <c r="V53" s="156"/>
    </row>
    <row r="54" spans="1:22" x14ac:dyDescent="0.2">
      <c r="A54" s="155"/>
      <c r="B54" s="155"/>
      <c r="C54" s="44"/>
      <c r="D54" s="44"/>
      <c r="E54" s="46"/>
      <c r="F54" s="44"/>
      <c r="G54" s="44"/>
      <c r="H54" s="44"/>
      <c r="I54" s="44"/>
      <c r="J54" s="44"/>
      <c r="K54" s="44">
        <v>622.29999999999995</v>
      </c>
      <c r="L54" s="44">
        <v>700</v>
      </c>
      <c r="M54" s="44"/>
      <c r="N54" s="44">
        <v>840.7</v>
      </c>
      <c r="O54" s="44">
        <v>700</v>
      </c>
      <c r="P54" s="44"/>
      <c r="Q54" s="44"/>
      <c r="R54" s="44"/>
      <c r="S54" s="181"/>
      <c r="T54" s="181"/>
      <c r="U54" s="156"/>
      <c r="V54" s="156"/>
    </row>
    <row r="55" spans="1:22" x14ac:dyDescent="0.2">
      <c r="A55" s="155"/>
      <c r="B55" s="155"/>
      <c r="C55" s="44"/>
      <c r="D55" s="44"/>
      <c r="E55" s="46"/>
      <c r="F55" s="44"/>
      <c r="G55" s="44"/>
      <c r="H55" s="44"/>
      <c r="I55" s="44"/>
      <c r="J55" s="44">
        <v>786.76499999999999</v>
      </c>
      <c r="K55" s="44">
        <v>885</v>
      </c>
      <c r="L55" s="44"/>
      <c r="M55" s="44">
        <v>1062.885</v>
      </c>
      <c r="N55" s="44">
        <v>885</v>
      </c>
      <c r="O55" s="44"/>
      <c r="P55" s="44"/>
      <c r="Q55" s="44"/>
      <c r="R55" s="44"/>
      <c r="S55" s="181"/>
      <c r="T55" s="181"/>
    </row>
    <row r="56" spans="1:22" x14ac:dyDescent="0.2">
      <c r="A56" s="155"/>
      <c r="B56" s="155"/>
      <c r="C56" s="44"/>
      <c r="D56" s="44"/>
      <c r="E56" s="46"/>
      <c r="F56" s="44"/>
      <c r="G56" s="44"/>
      <c r="H56" s="44"/>
      <c r="I56" s="44"/>
      <c r="J56" s="44">
        <v>1205.4780000000001</v>
      </c>
      <c r="K56" s="44">
        <v>1158</v>
      </c>
      <c r="L56" s="44"/>
      <c r="M56" s="44">
        <v>1390.758</v>
      </c>
      <c r="N56" s="44">
        <v>1158</v>
      </c>
      <c r="O56" s="44"/>
      <c r="P56" s="44"/>
      <c r="Q56" s="44"/>
      <c r="R56" s="44"/>
      <c r="S56" s="181"/>
      <c r="T56" s="181"/>
    </row>
    <row r="57" spans="1:22" x14ac:dyDescent="0.2">
      <c r="A57" s="155"/>
      <c r="B57" s="155"/>
      <c r="C57" s="44"/>
      <c r="D57" s="44"/>
      <c r="E57" s="46"/>
      <c r="F57" s="44"/>
      <c r="G57" s="44"/>
      <c r="H57" s="44"/>
      <c r="I57" s="44"/>
      <c r="J57" s="44">
        <v>1390.758</v>
      </c>
      <c r="K57" s="44">
        <v>1158</v>
      </c>
      <c r="L57" s="44"/>
      <c r="M57" s="44"/>
      <c r="N57" s="44"/>
      <c r="O57" s="44"/>
      <c r="P57" s="44"/>
      <c r="Q57" s="44"/>
      <c r="R57" s="44"/>
      <c r="S57" s="181"/>
      <c r="T57" s="181"/>
    </row>
    <row r="58" spans="1:22" x14ac:dyDescent="0.2">
      <c r="A58" s="155"/>
      <c r="B58" s="155"/>
      <c r="C58" s="44"/>
      <c r="D58" s="44"/>
      <c r="E58" s="46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181"/>
      <c r="T58" s="181"/>
    </row>
    <row r="59" spans="1:22" x14ac:dyDescent="0.2">
      <c r="C59" s="44"/>
      <c r="D59" s="44"/>
      <c r="E59" s="46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181"/>
      <c r="T59" s="181"/>
    </row>
    <row r="60" spans="1:22" x14ac:dyDescent="0.2">
      <c r="E60" s="182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</row>
    <row r="61" spans="1:22" x14ac:dyDescent="0.2">
      <c r="E61" s="182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</row>
  </sheetData>
  <sheetProtection sheet="1" objects="1" scenarios="1"/>
  <mergeCells count="28">
    <mergeCell ref="C17:D17"/>
    <mergeCell ref="H17:J17"/>
    <mergeCell ref="F4:G4"/>
    <mergeCell ref="C20:D20"/>
    <mergeCell ref="C21:D21"/>
    <mergeCell ref="F21:G21"/>
    <mergeCell ref="F2:G2"/>
    <mergeCell ref="F3:G3"/>
    <mergeCell ref="C13:D13"/>
    <mergeCell ref="C18:J18"/>
    <mergeCell ref="F20:G20"/>
    <mergeCell ref="F19:I19"/>
    <mergeCell ref="C6:D6"/>
    <mergeCell ref="C7:D7"/>
    <mergeCell ref="C11:D11"/>
    <mergeCell ref="C12:D12"/>
    <mergeCell ref="C14:D14"/>
    <mergeCell ref="C8:D8"/>
    <mergeCell ref="C9:D9"/>
    <mergeCell ref="C10:D10"/>
    <mergeCell ref="C15:D15"/>
    <mergeCell ref="C16:D16"/>
    <mergeCell ref="C25:D26"/>
    <mergeCell ref="F22:G22"/>
    <mergeCell ref="F23:G23"/>
    <mergeCell ref="F24:G24"/>
    <mergeCell ref="C22:D22"/>
    <mergeCell ref="C23:D24"/>
  </mergeCells>
  <conditionalFormatting sqref="C11:D13">
    <cfRule type="expression" dxfId="9" priority="12">
      <formula>"($F$9+$F$10)&gt;54"</formula>
    </cfRule>
  </conditionalFormatting>
  <conditionalFormatting sqref="F8">
    <cfRule type="cellIs" dxfId="8" priority="3" operator="greaterThan">
      <formula>87</formula>
    </cfRule>
  </conditionalFormatting>
  <conditionalFormatting sqref="F8:F13 F15">
    <cfRule type="expression" dxfId="7" priority="7">
      <formula>$G$16&gt;3100</formula>
    </cfRule>
  </conditionalFormatting>
  <conditionalFormatting sqref="F11">
    <cfRule type="cellIs" dxfId="6" priority="10" operator="greaterThan">
      <formula>54.55</formula>
    </cfRule>
  </conditionalFormatting>
  <conditionalFormatting sqref="F11:F13">
    <cfRule type="expression" dxfId="5" priority="2">
      <formula>SUM($F$11:$F$13)&gt;91</formula>
    </cfRule>
    <cfRule type="expression" dxfId="4" priority="8">
      <formula>$D$25&gt;200</formula>
    </cfRule>
  </conditionalFormatting>
  <conditionalFormatting sqref="F12:F13">
    <cfRule type="expression" dxfId="3" priority="1">
      <formula>SUM($F$12:$F$13)&gt;36</formula>
    </cfRule>
    <cfRule type="cellIs" dxfId="2" priority="9" operator="greaterThan">
      <formula>36.36</formula>
    </cfRule>
  </conditionalFormatting>
  <conditionalFormatting sqref="G15">
    <cfRule type="cellIs" dxfId="1" priority="6" operator="lessThan">
      <formula>-10</formula>
    </cfRule>
  </conditionalFormatting>
  <conditionalFormatting sqref="J16">
    <cfRule type="cellIs" dxfId="0" priority="5" operator="greaterThan">
      <formula>46</formula>
    </cfRule>
  </conditionalFormatting>
  <pageMargins left="0.7" right="0.7" top="0.78740157499999996" bottom="0.78740157499999996" header="0.3" footer="0.3"/>
  <pageSetup paperSize="9" orientation="landscape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workbookViewId="0">
      <selection activeCell="O22" sqref="O22"/>
    </sheetView>
  </sheetViews>
  <sheetFormatPr baseColWidth="10" defaultColWidth="11.42578125" defaultRowHeight="12.75" x14ac:dyDescent="0.2"/>
  <cols>
    <col min="1" max="1" width="4" customWidth="1"/>
    <col min="2" max="2" width="28.28515625" customWidth="1"/>
    <col min="3" max="3" width="7" customWidth="1"/>
    <col min="4" max="4" width="8" customWidth="1"/>
    <col min="5" max="5" width="8.28515625" customWidth="1"/>
    <col min="6" max="6" width="9.28515625" customWidth="1"/>
  </cols>
  <sheetData>
    <row r="1" spans="2:6" ht="13.5" thickBot="1" x14ac:dyDescent="0.25">
      <c r="B1" t="s">
        <v>1</v>
      </c>
    </row>
    <row r="2" spans="2:6" ht="29.25" customHeight="1" thickTop="1" x14ac:dyDescent="0.2">
      <c r="B2" s="234" t="s">
        <v>40</v>
      </c>
      <c r="C2" s="235"/>
      <c r="D2" s="236" t="s">
        <v>41</v>
      </c>
      <c r="E2" s="237"/>
      <c r="F2" s="238"/>
    </row>
    <row r="3" spans="2:6" ht="25.5" x14ac:dyDescent="0.2">
      <c r="B3" s="239" t="s">
        <v>42</v>
      </c>
      <c r="C3" s="240"/>
      <c r="D3" s="240"/>
      <c r="E3" s="136" t="s">
        <v>43</v>
      </c>
      <c r="F3" s="77" t="s">
        <v>44</v>
      </c>
    </row>
    <row r="4" spans="2:6" ht="20.25" customHeight="1" x14ac:dyDescent="0.2">
      <c r="B4" s="78" t="s">
        <v>45</v>
      </c>
      <c r="C4" s="136" t="s">
        <v>46</v>
      </c>
      <c r="D4" s="136"/>
      <c r="E4" s="137">
        <v>510</v>
      </c>
      <c r="F4" s="79">
        <v>225.9</v>
      </c>
    </row>
    <row r="5" spans="2:6" ht="18" customHeight="1" x14ac:dyDescent="0.2">
      <c r="B5" s="241" t="s">
        <v>47</v>
      </c>
      <c r="C5" s="136" t="s">
        <v>48</v>
      </c>
      <c r="D5" s="139">
        <v>0</v>
      </c>
      <c r="E5" s="137">
        <f t="shared" ref="E5:E6" si="0">D5</f>
        <v>0</v>
      </c>
      <c r="F5" s="79">
        <f>E5*0.484</f>
        <v>0</v>
      </c>
    </row>
    <row r="6" spans="2:6" ht="18.75" customHeight="1" x14ac:dyDescent="0.2">
      <c r="B6" s="242"/>
      <c r="C6" s="136" t="s">
        <v>49</v>
      </c>
      <c r="D6" s="139">
        <v>0</v>
      </c>
      <c r="E6" s="137">
        <f t="shared" si="0"/>
        <v>0</v>
      </c>
      <c r="F6" s="79">
        <f t="shared" ref="F6" si="1">E6*0.515</f>
        <v>0</v>
      </c>
    </row>
    <row r="7" spans="2:6" ht="18" customHeight="1" x14ac:dyDescent="0.2">
      <c r="B7" s="243"/>
      <c r="C7" s="136" t="s">
        <v>50</v>
      </c>
      <c r="D7" s="139">
        <v>90</v>
      </c>
      <c r="E7" s="137">
        <f>D7</f>
        <v>90</v>
      </c>
      <c r="F7" s="79">
        <f>E7*0.58</f>
        <v>52.199999999999996</v>
      </c>
    </row>
    <row r="8" spans="2:6" ht="20.25" customHeight="1" x14ac:dyDescent="0.2">
      <c r="B8" s="241" t="s">
        <v>51</v>
      </c>
      <c r="C8" s="136" t="s">
        <v>48</v>
      </c>
      <c r="D8" s="139">
        <v>0</v>
      </c>
      <c r="E8" s="137">
        <f>D8</f>
        <v>0</v>
      </c>
      <c r="F8" s="79">
        <f>E8*0.484</f>
        <v>0</v>
      </c>
    </row>
    <row r="9" spans="2:6" ht="18.75" customHeight="1" x14ac:dyDescent="0.2">
      <c r="B9" s="242"/>
      <c r="C9" s="136" t="s">
        <v>49</v>
      </c>
      <c r="D9" s="139">
        <v>0</v>
      </c>
      <c r="E9" s="137">
        <f t="shared" ref="E9" si="2">D9</f>
        <v>0</v>
      </c>
      <c r="F9" s="79">
        <f t="shared" ref="F9" si="3">E9*0.515</f>
        <v>0</v>
      </c>
    </row>
    <row r="10" spans="2:6" ht="18.75" customHeight="1" x14ac:dyDescent="0.2">
      <c r="B10" s="243"/>
      <c r="C10" s="136" t="s">
        <v>50</v>
      </c>
      <c r="D10" s="139">
        <v>100</v>
      </c>
      <c r="E10" s="137">
        <f>D10</f>
        <v>100</v>
      </c>
      <c r="F10" s="79">
        <f>E10*0.58</f>
        <v>57.999999999999993</v>
      </c>
    </row>
    <row r="11" spans="2:6" ht="23.25" customHeight="1" thickBot="1" x14ac:dyDescent="0.25">
      <c r="B11" s="78" t="s">
        <v>52</v>
      </c>
      <c r="C11" s="136" t="s">
        <v>46</v>
      </c>
      <c r="D11" s="139">
        <v>3</v>
      </c>
      <c r="E11" s="137">
        <f>D11</f>
        <v>3</v>
      </c>
      <c r="F11" s="79">
        <f>E11*1.3</f>
        <v>3.9000000000000004</v>
      </c>
    </row>
    <row r="12" spans="2:6" ht="35.25" customHeight="1" thickTop="1" thickBot="1" x14ac:dyDescent="0.25">
      <c r="B12" s="72" t="s">
        <v>53</v>
      </c>
      <c r="C12" s="108" t="s">
        <v>46</v>
      </c>
      <c r="D12" s="73"/>
      <c r="E12" s="74">
        <f>SUM(E4:E11)</f>
        <v>703</v>
      </c>
      <c r="F12" s="75">
        <f>SUM(F4:F11)</f>
        <v>340</v>
      </c>
    </row>
    <row r="13" spans="2:6" ht="32.25" customHeight="1" thickTop="1" thickBot="1" x14ac:dyDescent="0.25">
      <c r="B13" s="78" t="s">
        <v>54</v>
      </c>
      <c r="C13" s="136" t="s">
        <v>55</v>
      </c>
      <c r="D13" s="139">
        <v>50</v>
      </c>
      <c r="E13" s="137">
        <f>D13*0.72</f>
        <v>36</v>
      </c>
      <c r="F13" s="79">
        <f>E13*0.325</f>
        <v>11.700000000000001</v>
      </c>
    </row>
    <row r="14" spans="2:6" ht="25.5" customHeight="1" thickTop="1" thickBot="1" x14ac:dyDescent="0.25">
      <c r="B14" s="72" t="s">
        <v>56</v>
      </c>
      <c r="C14" s="108" t="s">
        <v>46</v>
      </c>
      <c r="D14" s="73"/>
      <c r="E14" s="74">
        <f>E12+E13</f>
        <v>739</v>
      </c>
      <c r="F14" s="75">
        <f>F12+F13</f>
        <v>351.7</v>
      </c>
    </row>
    <row r="15" spans="2:6" ht="37.5" customHeight="1" thickTop="1" thickBot="1" x14ac:dyDescent="0.25">
      <c r="B15" s="109" t="s">
        <v>57</v>
      </c>
      <c r="C15" s="110" t="s">
        <v>58</v>
      </c>
      <c r="D15" s="232" t="s">
        <v>59</v>
      </c>
      <c r="E15" s="233"/>
      <c r="F15" s="111">
        <f>(F14/E14)*1000</f>
        <v>475.91339648173204</v>
      </c>
    </row>
    <row r="16" spans="2:6" ht="21" customHeight="1" thickTop="1" thickBot="1" x14ac:dyDescent="0.25">
      <c r="B16" s="147" t="str">
        <f>'OE-CFF'!G16</f>
        <v>Version V30</v>
      </c>
      <c r="E16" s="231" t="s">
        <v>60</v>
      </c>
      <c r="F16" s="231"/>
    </row>
    <row r="17" spans="2:2" ht="13.5" thickTop="1" x14ac:dyDescent="0.2"/>
    <row r="18" spans="2:2" ht="18" customHeight="1" x14ac:dyDescent="0.2">
      <c r="B18" s="119"/>
    </row>
  </sheetData>
  <sheetProtection sheet="1" objects="1" scenarios="1"/>
  <mergeCells count="7">
    <mergeCell ref="E16:F16"/>
    <mergeCell ref="D15:E15"/>
    <mergeCell ref="B2:C2"/>
    <mergeCell ref="D2:F2"/>
    <mergeCell ref="B3:D3"/>
    <mergeCell ref="B5:B7"/>
    <mergeCell ref="B8:B10"/>
  </mergeCells>
  <conditionalFormatting sqref="D13">
    <cfRule type="cellIs" dxfId="54" priority="1" operator="greaterThan">
      <formula>109.6</formula>
    </cfRule>
  </conditionalFormatting>
  <conditionalFormatting sqref="E14">
    <cfRule type="cellIs" dxfId="53" priority="2" stopIfTrue="1" operator="lessThan">
      <formula>750</formula>
    </cfRule>
    <cfRule type="cellIs" dxfId="52" priority="3" stopIfTrue="1" operator="greaterThan">
      <formula>750</formula>
    </cfRule>
  </conditionalFormatting>
  <conditionalFormatting sqref="F15">
    <cfRule type="cellIs" dxfId="51" priority="4" stopIfTrue="1" operator="between">
      <formula>427</formula>
      <formula>523</formula>
    </cfRule>
    <cfRule type="cellIs" dxfId="50" priority="5" stopIfTrue="1" operator="notBetween">
      <formula>427</formula>
      <formula>523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4.140625" customWidth="1"/>
    <col min="2" max="2" width="28" customWidth="1"/>
    <col min="3" max="3" width="7.140625" customWidth="1"/>
    <col min="4" max="4" width="8.42578125" customWidth="1"/>
    <col min="5" max="5" width="9.5703125" customWidth="1"/>
    <col min="6" max="6" width="9.140625" customWidth="1"/>
  </cols>
  <sheetData>
    <row r="1" spans="1:7" ht="13.5" thickBot="1" x14ac:dyDescent="0.25">
      <c r="B1" t="s">
        <v>1</v>
      </c>
      <c r="C1" s="42"/>
    </row>
    <row r="2" spans="1:7" ht="30" customHeight="1" thickTop="1" x14ac:dyDescent="0.2">
      <c r="B2" s="234" t="s">
        <v>61</v>
      </c>
      <c r="C2" s="235"/>
      <c r="D2" s="236" t="s">
        <v>62</v>
      </c>
      <c r="E2" s="237"/>
      <c r="F2" s="238"/>
    </row>
    <row r="3" spans="1:7" ht="25.5" x14ac:dyDescent="0.2">
      <c r="B3" s="239" t="s">
        <v>42</v>
      </c>
      <c r="C3" s="240"/>
      <c r="D3" s="240"/>
      <c r="E3" s="136" t="s">
        <v>43</v>
      </c>
      <c r="F3" s="77" t="s">
        <v>44</v>
      </c>
    </row>
    <row r="4" spans="1:7" ht="20.25" customHeight="1" x14ac:dyDescent="0.2">
      <c r="B4" s="78" t="s">
        <v>45</v>
      </c>
      <c r="C4" s="136" t="s">
        <v>46</v>
      </c>
      <c r="D4" s="136"/>
      <c r="E4" s="137">
        <v>509.9</v>
      </c>
      <c r="F4" s="79">
        <v>221.7</v>
      </c>
      <c r="G4" s="80"/>
    </row>
    <row r="5" spans="1:7" ht="18.75" customHeight="1" x14ac:dyDescent="0.2">
      <c r="B5" s="241" t="s">
        <v>47</v>
      </c>
      <c r="C5" s="136" t="s">
        <v>48</v>
      </c>
      <c r="D5" s="139">
        <v>0</v>
      </c>
      <c r="E5" s="137">
        <f t="shared" ref="E5:E6" si="0">D5</f>
        <v>0</v>
      </c>
      <c r="F5" s="79">
        <f>E5*0.484</f>
        <v>0</v>
      </c>
      <c r="G5" s="80"/>
    </row>
    <row r="6" spans="1:7" ht="18.75" customHeight="1" x14ac:dyDescent="0.2">
      <c r="B6" s="242"/>
      <c r="C6" s="136" t="s">
        <v>49</v>
      </c>
      <c r="D6" s="139">
        <v>0</v>
      </c>
      <c r="E6" s="137">
        <f t="shared" si="0"/>
        <v>0</v>
      </c>
      <c r="F6" s="79">
        <f t="shared" ref="F6" si="1">E6*0.515</f>
        <v>0</v>
      </c>
      <c r="G6" s="80"/>
    </row>
    <row r="7" spans="1:7" ht="20.25" customHeight="1" x14ac:dyDescent="0.2">
      <c r="B7" s="243"/>
      <c r="C7" s="136" t="s">
        <v>50</v>
      </c>
      <c r="D7" s="139">
        <v>30</v>
      </c>
      <c r="E7" s="137">
        <f>D7</f>
        <v>30</v>
      </c>
      <c r="F7" s="79">
        <f>E7*0.58</f>
        <v>17.399999999999999</v>
      </c>
      <c r="G7" s="80"/>
    </row>
    <row r="8" spans="1:7" ht="20.25" customHeight="1" x14ac:dyDescent="0.2">
      <c r="B8" s="241" t="s">
        <v>51</v>
      </c>
      <c r="C8" s="136" t="s">
        <v>48</v>
      </c>
      <c r="D8" s="139">
        <v>0</v>
      </c>
      <c r="E8" s="137">
        <f t="shared" ref="E8:E9" si="2">D8</f>
        <v>0</v>
      </c>
      <c r="F8" s="79">
        <f>E8*0.484</f>
        <v>0</v>
      </c>
      <c r="G8" s="80"/>
    </row>
    <row r="9" spans="1:7" ht="20.25" customHeight="1" x14ac:dyDescent="0.2">
      <c r="B9" s="242"/>
      <c r="C9" s="136" t="s">
        <v>49</v>
      </c>
      <c r="D9" s="139">
        <v>0</v>
      </c>
      <c r="E9" s="137">
        <f t="shared" si="2"/>
        <v>0</v>
      </c>
      <c r="F9" s="79">
        <f t="shared" ref="F9" si="3">E9*0.515</f>
        <v>0</v>
      </c>
      <c r="G9" s="80"/>
    </row>
    <row r="10" spans="1:7" ht="21.75" customHeight="1" x14ac:dyDescent="0.2">
      <c r="B10" s="243"/>
      <c r="C10" s="136" t="s">
        <v>50</v>
      </c>
      <c r="D10" s="139">
        <v>0</v>
      </c>
      <c r="E10" s="137">
        <f>D10</f>
        <v>0</v>
      </c>
      <c r="F10" s="79">
        <f>E10*0.58</f>
        <v>0</v>
      </c>
      <c r="G10" s="80"/>
    </row>
    <row r="11" spans="1:7" ht="21.75" customHeight="1" thickBot="1" x14ac:dyDescent="0.25">
      <c r="B11" s="78" t="s">
        <v>52</v>
      </c>
      <c r="C11" s="136" t="s">
        <v>46</v>
      </c>
      <c r="D11" s="139">
        <v>0</v>
      </c>
      <c r="E11" s="137">
        <f>D11</f>
        <v>0</v>
      </c>
      <c r="F11" s="79">
        <f>E11*1.3</f>
        <v>0</v>
      </c>
      <c r="G11" s="80"/>
    </row>
    <row r="12" spans="1:7" ht="34.5" customHeight="1" thickTop="1" thickBot="1" x14ac:dyDescent="0.25">
      <c r="B12" s="72" t="s">
        <v>53</v>
      </c>
      <c r="C12" s="108" t="s">
        <v>46</v>
      </c>
      <c r="D12" s="73"/>
      <c r="E12" s="74">
        <f>SUM(E4:E11)</f>
        <v>539.9</v>
      </c>
      <c r="F12" s="75">
        <f>SUM(F4:F11)</f>
        <v>239.1</v>
      </c>
      <c r="G12" s="80"/>
    </row>
    <row r="13" spans="1:7" ht="30" customHeight="1" thickTop="1" thickBot="1" x14ac:dyDescent="0.25">
      <c r="B13" s="78" t="s">
        <v>63</v>
      </c>
      <c r="C13" s="136" t="s">
        <v>55</v>
      </c>
      <c r="D13" s="139">
        <v>100</v>
      </c>
      <c r="E13" s="137">
        <f>D13*0.72</f>
        <v>72</v>
      </c>
      <c r="F13" s="79">
        <f>E13*0.325</f>
        <v>23.400000000000002</v>
      </c>
      <c r="G13" s="80"/>
    </row>
    <row r="14" spans="1:7" ht="24" customHeight="1" thickTop="1" thickBot="1" x14ac:dyDescent="0.25">
      <c r="A14" s="71"/>
      <c r="B14" s="72" t="s">
        <v>56</v>
      </c>
      <c r="C14" s="108" t="s">
        <v>46</v>
      </c>
      <c r="D14" s="73"/>
      <c r="E14" s="74">
        <f>E12+E13</f>
        <v>611.9</v>
      </c>
      <c r="F14" s="75">
        <f>F12+F13</f>
        <v>262.5</v>
      </c>
      <c r="G14" s="76"/>
    </row>
    <row r="15" spans="1:7" ht="39.75" customHeight="1" thickTop="1" thickBot="1" x14ac:dyDescent="0.25">
      <c r="B15" s="109" t="s">
        <v>57</v>
      </c>
      <c r="C15" s="110" t="s">
        <v>58</v>
      </c>
      <c r="D15" s="232" t="s">
        <v>59</v>
      </c>
      <c r="E15" s="233"/>
      <c r="F15" s="111">
        <f>(F14/E14)*1000</f>
        <v>428.9916653047884</v>
      </c>
      <c r="G15" s="80"/>
    </row>
    <row r="16" spans="1:7" ht="19.5" customHeight="1" thickTop="1" thickBot="1" x14ac:dyDescent="0.25">
      <c r="B16" s="147" t="str">
        <f>'OE-CFF'!G16</f>
        <v>Version V30</v>
      </c>
      <c r="C16" s="42"/>
      <c r="E16" s="231" t="s">
        <v>60</v>
      </c>
      <c r="F16" s="231"/>
    </row>
    <row r="17" spans="2:2" ht="18" customHeight="1" thickTop="1" x14ac:dyDescent="0.2">
      <c r="B17" s="148"/>
    </row>
  </sheetData>
  <sheetProtection sheet="1" objects="1" scenarios="1"/>
  <mergeCells count="7">
    <mergeCell ref="E16:F16"/>
    <mergeCell ref="D15:E15"/>
    <mergeCell ref="B2:C2"/>
    <mergeCell ref="D2:F2"/>
    <mergeCell ref="B3:D3"/>
    <mergeCell ref="B5:B7"/>
    <mergeCell ref="B8:B10"/>
  </mergeCells>
  <conditionalFormatting sqref="D13">
    <cfRule type="cellIs" dxfId="49" priority="1" operator="greaterThan">
      <formula>109.6</formula>
    </cfRule>
  </conditionalFormatting>
  <conditionalFormatting sqref="E14">
    <cfRule type="cellIs" dxfId="48" priority="2" stopIfTrue="1" operator="lessThan">
      <formula>750</formula>
    </cfRule>
    <cfRule type="cellIs" dxfId="47" priority="3" stopIfTrue="1" operator="greaterThan">
      <formula>750</formula>
    </cfRule>
  </conditionalFormatting>
  <conditionalFormatting sqref="F15">
    <cfRule type="cellIs" dxfId="46" priority="4" stopIfTrue="1" operator="between">
      <formula>427</formula>
      <formula>523</formula>
    </cfRule>
    <cfRule type="cellIs" dxfId="45" priority="5" stopIfTrue="1" operator="notBetween">
      <formula>427</formula>
      <formula>523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8"/>
  <sheetViews>
    <sheetView workbookViewId="0">
      <selection activeCell="M21" sqref="M21"/>
    </sheetView>
  </sheetViews>
  <sheetFormatPr baseColWidth="10" defaultColWidth="11.42578125" defaultRowHeight="12.75" x14ac:dyDescent="0.2"/>
  <cols>
    <col min="1" max="1" width="4" customWidth="1"/>
    <col min="2" max="2" width="27.7109375" customWidth="1"/>
    <col min="3" max="3" width="7" customWidth="1"/>
    <col min="4" max="4" width="8" customWidth="1"/>
    <col min="5" max="5" width="8.28515625" customWidth="1"/>
    <col min="6" max="6" width="9.28515625" customWidth="1"/>
  </cols>
  <sheetData>
    <row r="1" spans="2:6" ht="13.5" thickBot="1" x14ac:dyDescent="0.25">
      <c r="B1" t="s">
        <v>1</v>
      </c>
    </row>
    <row r="2" spans="2:6" ht="32.25" customHeight="1" thickTop="1" x14ac:dyDescent="0.2">
      <c r="B2" s="234" t="s">
        <v>61</v>
      </c>
      <c r="C2" s="235"/>
      <c r="D2" s="236" t="s">
        <v>64</v>
      </c>
      <c r="E2" s="237"/>
      <c r="F2" s="238"/>
    </row>
    <row r="3" spans="2:6" ht="25.5" x14ac:dyDescent="0.2">
      <c r="B3" s="239" t="s">
        <v>42</v>
      </c>
      <c r="C3" s="240"/>
      <c r="D3" s="240"/>
      <c r="E3" s="136" t="s">
        <v>43</v>
      </c>
      <c r="F3" s="77" t="s">
        <v>44</v>
      </c>
    </row>
    <row r="4" spans="2:6" ht="21" customHeight="1" x14ac:dyDescent="0.2">
      <c r="B4" s="78" t="s">
        <v>45</v>
      </c>
      <c r="C4" s="136" t="s">
        <v>46</v>
      </c>
      <c r="D4" s="136"/>
      <c r="E4" s="137">
        <v>511.2</v>
      </c>
      <c r="F4" s="79">
        <v>224.46</v>
      </c>
    </row>
    <row r="5" spans="2:6" ht="18.75" customHeight="1" x14ac:dyDescent="0.2">
      <c r="B5" s="241" t="s">
        <v>47</v>
      </c>
      <c r="C5" s="136" t="s">
        <v>48</v>
      </c>
      <c r="D5" s="139">
        <v>0</v>
      </c>
      <c r="E5" s="137">
        <f t="shared" ref="E5:E6" si="0">D5</f>
        <v>0</v>
      </c>
      <c r="F5" s="79">
        <f>E5*0.484</f>
        <v>0</v>
      </c>
    </row>
    <row r="6" spans="2:6" ht="18.75" customHeight="1" x14ac:dyDescent="0.2">
      <c r="B6" s="242"/>
      <c r="C6" s="136" t="s">
        <v>49</v>
      </c>
      <c r="D6" s="139">
        <v>75</v>
      </c>
      <c r="E6" s="137">
        <f t="shared" si="0"/>
        <v>75</v>
      </c>
      <c r="F6" s="79">
        <f t="shared" ref="F6" si="1">E6*0.515</f>
        <v>38.625</v>
      </c>
    </row>
    <row r="7" spans="2:6" ht="18.75" customHeight="1" x14ac:dyDescent="0.2">
      <c r="B7" s="243"/>
      <c r="C7" s="136" t="s">
        <v>50</v>
      </c>
      <c r="D7" s="139"/>
      <c r="E7" s="137">
        <f>D7</f>
        <v>0</v>
      </c>
      <c r="F7" s="79">
        <f>E7*0.58</f>
        <v>0</v>
      </c>
    </row>
    <row r="8" spans="2:6" ht="18.75" customHeight="1" x14ac:dyDescent="0.2">
      <c r="B8" s="241" t="s">
        <v>51</v>
      </c>
      <c r="C8" s="136" t="s">
        <v>48</v>
      </c>
      <c r="D8" s="139">
        <v>0</v>
      </c>
      <c r="E8" s="137">
        <f t="shared" ref="E8:E9" si="2">D8</f>
        <v>0</v>
      </c>
      <c r="F8" s="79">
        <f>E8*0.484</f>
        <v>0</v>
      </c>
    </row>
    <row r="9" spans="2:6" ht="19.5" customHeight="1" x14ac:dyDescent="0.2">
      <c r="B9" s="242"/>
      <c r="C9" s="136" t="s">
        <v>49</v>
      </c>
      <c r="D9" s="139">
        <v>0</v>
      </c>
      <c r="E9" s="137">
        <f t="shared" si="2"/>
        <v>0</v>
      </c>
      <c r="F9" s="79">
        <f t="shared" ref="F9" si="3">E9*0.515</f>
        <v>0</v>
      </c>
    </row>
    <row r="10" spans="2:6" ht="18.75" customHeight="1" x14ac:dyDescent="0.2">
      <c r="B10" s="243"/>
      <c r="C10" s="136" t="s">
        <v>50</v>
      </c>
      <c r="D10" s="139">
        <v>105</v>
      </c>
      <c r="E10" s="137">
        <f>D10</f>
        <v>105</v>
      </c>
      <c r="F10" s="79">
        <f>E10*0.58</f>
        <v>60.9</v>
      </c>
    </row>
    <row r="11" spans="2:6" ht="23.25" customHeight="1" thickBot="1" x14ac:dyDescent="0.25">
      <c r="B11" s="78" t="s">
        <v>52</v>
      </c>
      <c r="C11" s="136" t="s">
        <v>46</v>
      </c>
      <c r="D11" s="139">
        <v>3</v>
      </c>
      <c r="E11" s="137">
        <f>D11</f>
        <v>3</v>
      </c>
      <c r="F11" s="79">
        <f>E11*1.3</f>
        <v>3.9000000000000004</v>
      </c>
    </row>
    <row r="12" spans="2:6" ht="35.25" customHeight="1" thickTop="1" thickBot="1" x14ac:dyDescent="0.25">
      <c r="B12" s="72" t="s">
        <v>53</v>
      </c>
      <c r="C12" s="108" t="s">
        <v>46</v>
      </c>
      <c r="D12" s="73"/>
      <c r="E12" s="74">
        <f>SUM(E4:E11)</f>
        <v>694.2</v>
      </c>
      <c r="F12" s="75">
        <f>SUM(F4:F11)</f>
        <v>327.88499999999999</v>
      </c>
    </row>
    <row r="13" spans="2:6" ht="32.25" customHeight="1" thickTop="1" thickBot="1" x14ac:dyDescent="0.25">
      <c r="B13" s="78" t="s">
        <v>63</v>
      </c>
      <c r="C13" s="136" t="s">
        <v>55</v>
      </c>
      <c r="D13" s="139">
        <v>50</v>
      </c>
      <c r="E13" s="137">
        <f>D13*0.72</f>
        <v>36</v>
      </c>
      <c r="F13" s="79">
        <f>E13*0.325</f>
        <v>11.700000000000001</v>
      </c>
    </row>
    <row r="14" spans="2:6" ht="28.5" customHeight="1" thickTop="1" thickBot="1" x14ac:dyDescent="0.25">
      <c r="B14" s="72" t="s">
        <v>56</v>
      </c>
      <c r="C14" s="108" t="s">
        <v>46</v>
      </c>
      <c r="D14" s="73"/>
      <c r="E14" s="74">
        <f>E12+E13</f>
        <v>730.2</v>
      </c>
      <c r="F14" s="75">
        <f>F12+F13</f>
        <v>339.58499999999998</v>
      </c>
    </row>
    <row r="15" spans="2:6" ht="35.25" customHeight="1" thickTop="1" thickBot="1" x14ac:dyDescent="0.25">
      <c r="B15" s="109" t="s">
        <v>57</v>
      </c>
      <c r="C15" s="110" t="s">
        <v>58</v>
      </c>
      <c r="D15" s="232" t="s">
        <v>59</v>
      </c>
      <c r="E15" s="233"/>
      <c r="F15" s="111">
        <f>(F14/E14)*1000</f>
        <v>465.05751848808541</v>
      </c>
    </row>
    <row r="16" spans="2:6" ht="21.75" customHeight="1" thickTop="1" thickBot="1" x14ac:dyDescent="0.25">
      <c r="B16" s="147" t="str">
        <f>'OE-CFF'!G16</f>
        <v>Version V30</v>
      </c>
      <c r="E16" s="231" t="s">
        <v>65</v>
      </c>
      <c r="F16" s="231"/>
    </row>
    <row r="17" spans="2:2" ht="13.5" thickTop="1" x14ac:dyDescent="0.2">
      <c r="B17" s="12"/>
    </row>
    <row r="18" spans="2:2" ht="17.25" customHeight="1" x14ac:dyDescent="0.2">
      <c r="B18" s="119"/>
    </row>
  </sheetData>
  <sheetProtection sheet="1" objects="1" scenarios="1"/>
  <mergeCells count="7">
    <mergeCell ref="E16:F16"/>
    <mergeCell ref="D15:E15"/>
    <mergeCell ref="B2:C2"/>
    <mergeCell ref="D2:F2"/>
    <mergeCell ref="B3:D3"/>
    <mergeCell ref="B5:B7"/>
    <mergeCell ref="B8:B10"/>
  </mergeCells>
  <conditionalFormatting sqref="D13">
    <cfRule type="cellIs" dxfId="44" priority="1" operator="greaterThan">
      <formula>109.6</formula>
    </cfRule>
  </conditionalFormatting>
  <conditionalFormatting sqref="E14">
    <cfRule type="cellIs" dxfId="43" priority="2" stopIfTrue="1" operator="lessThan">
      <formula>750</formula>
    </cfRule>
    <cfRule type="cellIs" dxfId="42" priority="3" stopIfTrue="1" operator="greaterThan">
      <formula>750</formula>
    </cfRule>
  </conditionalFormatting>
  <conditionalFormatting sqref="F15">
    <cfRule type="cellIs" dxfId="41" priority="4" stopIfTrue="1" operator="between">
      <formula>427</formula>
      <formula>523</formula>
    </cfRule>
    <cfRule type="cellIs" dxfId="40" priority="5" stopIfTrue="1" operator="notBetween">
      <formula>427</formula>
      <formula>523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workbookViewId="0">
      <selection activeCell="O29" sqref="O29"/>
    </sheetView>
  </sheetViews>
  <sheetFormatPr baseColWidth="10" defaultColWidth="11.42578125" defaultRowHeight="12.75" x14ac:dyDescent="0.2"/>
  <cols>
    <col min="1" max="1" width="3.42578125" customWidth="1"/>
    <col min="2" max="2" width="27.5703125" customWidth="1"/>
    <col min="3" max="3" width="11.7109375" customWidth="1"/>
    <col min="4" max="4" width="16.140625" customWidth="1"/>
    <col min="5" max="5" width="7.140625" customWidth="1"/>
    <col min="7" max="7" width="8.5703125" customWidth="1"/>
    <col min="8" max="8" width="8.42578125" customWidth="1"/>
    <col min="9" max="9" width="8.140625" customWidth="1"/>
    <col min="10" max="10" width="8.5703125" customWidth="1"/>
    <col min="11" max="11" width="8.7109375" customWidth="1"/>
  </cols>
  <sheetData>
    <row r="1" spans="1:11" ht="13.5" thickBot="1" x14ac:dyDescent="0.25">
      <c r="B1" t="s">
        <v>1</v>
      </c>
    </row>
    <row r="2" spans="1:11" ht="18.75" customHeight="1" thickTop="1" x14ac:dyDescent="0.2">
      <c r="B2" s="253" t="s">
        <v>66</v>
      </c>
      <c r="C2" s="255" t="s">
        <v>67</v>
      </c>
      <c r="D2" s="256"/>
    </row>
    <row r="3" spans="1:11" ht="22.5" customHeight="1" thickBot="1" x14ac:dyDescent="0.25">
      <c r="B3" s="254"/>
      <c r="C3" s="52" t="s">
        <v>68</v>
      </c>
      <c r="D3" s="53" t="s">
        <v>69</v>
      </c>
    </row>
    <row r="4" spans="1:11" ht="18" customHeight="1" x14ac:dyDescent="0.2">
      <c r="B4" s="54" t="s">
        <v>25</v>
      </c>
      <c r="C4" s="116">
        <v>785.9</v>
      </c>
      <c r="D4" s="55">
        <v>1914.6</v>
      </c>
      <c r="E4" s="12"/>
      <c r="I4" s="42"/>
      <c r="J4" s="105" t="s">
        <v>70</v>
      </c>
      <c r="K4" s="105" t="s">
        <v>71</v>
      </c>
    </row>
    <row r="5" spans="1:11" ht="18" customHeight="1" x14ac:dyDescent="0.2">
      <c r="B5" s="56" t="s">
        <v>72</v>
      </c>
      <c r="C5" s="117">
        <f>0+C17</f>
        <v>-2.5364999999999998</v>
      </c>
      <c r="D5" s="57">
        <f>C5*1</f>
        <v>-2.5364999999999998</v>
      </c>
      <c r="E5" s="12"/>
      <c r="I5" s="42"/>
      <c r="J5" s="105">
        <v>2.4</v>
      </c>
      <c r="K5" s="105">
        <v>780</v>
      </c>
    </row>
    <row r="6" spans="1:11" ht="15" customHeight="1" x14ac:dyDescent="0.2">
      <c r="B6" s="56" t="s">
        <v>73</v>
      </c>
      <c r="C6" s="118">
        <v>205</v>
      </c>
      <c r="D6" s="57">
        <f>C6*2.3</f>
        <v>471.49999999999994</v>
      </c>
      <c r="E6" s="12"/>
      <c r="H6" s="119"/>
      <c r="I6" s="42"/>
      <c r="J6" s="105">
        <v>2.4</v>
      </c>
      <c r="K6" s="105">
        <v>980</v>
      </c>
    </row>
    <row r="7" spans="1:11" ht="16.5" customHeight="1" x14ac:dyDescent="0.2">
      <c r="B7" s="56" t="s">
        <v>74</v>
      </c>
      <c r="C7" s="118">
        <v>80</v>
      </c>
      <c r="D7" s="57">
        <f>C7*3.25</f>
        <v>260</v>
      </c>
      <c r="E7" s="12"/>
      <c r="I7" s="42"/>
      <c r="J7" s="105">
        <v>2.46</v>
      </c>
      <c r="K7" s="105">
        <v>1150</v>
      </c>
    </row>
    <row r="8" spans="1:11" ht="16.5" customHeight="1" thickBot="1" x14ac:dyDescent="0.25">
      <c r="B8" s="120" t="s">
        <v>75</v>
      </c>
      <c r="C8" s="121">
        <v>5</v>
      </c>
      <c r="D8" s="122">
        <f>C8*3.65</f>
        <v>18.25</v>
      </c>
      <c r="E8" s="12"/>
      <c r="I8" s="42"/>
      <c r="J8" s="105">
        <v>2.59</v>
      </c>
      <c r="K8" s="105">
        <v>1150</v>
      </c>
    </row>
    <row r="9" spans="1:11" ht="17.25" customHeight="1" thickTop="1" thickBot="1" x14ac:dyDescent="0.25">
      <c r="B9" s="123" t="s">
        <v>76</v>
      </c>
      <c r="C9" s="124">
        <f>SUM(C4:C8)</f>
        <v>1073.3634999999999</v>
      </c>
      <c r="D9" s="125">
        <f>SUM(D4:D8)</f>
        <v>2661.8134999999997</v>
      </c>
      <c r="E9" s="12"/>
      <c r="I9" s="42"/>
      <c r="J9" s="105">
        <v>2.59</v>
      </c>
      <c r="K9" s="105">
        <v>780</v>
      </c>
    </row>
    <row r="10" spans="1:11" ht="17.25" customHeight="1" thickTop="1" thickBot="1" x14ac:dyDescent="0.25">
      <c r="B10" s="126" t="s">
        <v>77</v>
      </c>
      <c r="C10" s="127">
        <f>0+C15</f>
        <v>72</v>
      </c>
      <c r="D10" s="128">
        <f>C10*2.63</f>
        <v>189.35999999999999</v>
      </c>
      <c r="E10" s="12"/>
      <c r="H10" s="112" t="s">
        <v>78</v>
      </c>
      <c r="I10" s="42"/>
      <c r="J10" s="105"/>
      <c r="K10" s="105"/>
    </row>
    <row r="11" spans="1:11" ht="17.25" customHeight="1" thickTop="1" thickBot="1" x14ac:dyDescent="0.25">
      <c r="B11" s="123" t="s">
        <v>79</v>
      </c>
      <c r="C11" s="124">
        <f>SUM(C9:C10)</f>
        <v>1145.3634999999999</v>
      </c>
      <c r="D11" s="125">
        <f>SUM(D9:D10)</f>
        <v>2851.1734999999999</v>
      </c>
      <c r="E11" s="12"/>
      <c r="H11" s="113">
        <f>C11</f>
        <v>1145.3634999999999</v>
      </c>
      <c r="I11" s="42"/>
      <c r="J11" s="129">
        <f>D13</f>
        <v>2.4893175834571295</v>
      </c>
    </row>
    <row r="12" spans="1:11" ht="15" customHeight="1" thickTop="1" x14ac:dyDescent="0.2">
      <c r="B12" s="130" t="s">
        <v>80</v>
      </c>
      <c r="C12" s="131"/>
      <c r="D12" s="132">
        <f>D9/C9</f>
        <v>2.4798807673262599</v>
      </c>
      <c r="E12" s="12"/>
    </row>
    <row r="13" spans="1:11" ht="12" customHeight="1" thickBot="1" x14ac:dyDescent="0.25">
      <c r="B13" s="133" t="s">
        <v>81</v>
      </c>
      <c r="C13" s="58"/>
      <c r="D13" s="59">
        <f>D11/C11</f>
        <v>2.4893175834571295</v>
      </c>
      <c r="E13" s="12"/>
    </row>
    <row r="14" spans="1:11" ht="17.25" customHeight="1" x14ac:dyDescent="0.2">
      <c r="A14" s="60"/>
      <c r="B14" s="61" t="s">
        <v>82</v>
      </c>
      <c r="C14" s="257" t="s">
        <v>83</v>
      </c>
      <c r="D14" s="258"/>
      <c r="E14" s="62"/>
    </row>
    <row r="15" spans="1:11" ht="14.25" customHeight="1" x14ac:dyDescent="0.2">
      <c r="B15" s="63">
        <v>100</v>
      </c>
      <c r="C15" s="259">
        <f>B15*0.72</f>
        <v>72</v>
      </c>
      <c r="D15" s="260"/>
    </row>
    <row r="16" spans="1:11" x14ac:dyDescent="0.2">
      <c r="A16" s="60"/>
      <c r="B16" s="64" t="s">
        <v>84</v>
      </c>
      <c r="C16" s="261" t="s">
        <v>85</v>
      </c>
      <c r="D16" s="262"/>
      <c r="E16" s="60"/>
    </row>
    <row r="17" spans="2:4" ht="13.5" thickBot="1" x14ac:dyDescent="0.25">
      <c r="B17" s="65">
        <v>5</v>
      </c>
      <c r="C17" s="263">
        <f>((B17-8)*0.95)*0.89</f>
        <v>-2.5364999999999998</v>
      </c>
      <c r="D17" s="264"/>
    </row>
    <row r="18" spans="2:4" x14ac:dyDescent="0.2">
      <c r="B18" s="244"/>
      <c r="C18" s="245"/>
      <c r="D18" s="250" t="s">
        <v>86</v>
      </c>
    </row>
    <row r="19" spans="2:4" x14ac:dyDescent="0.2">
      <c r="B19" s="246"/>
      <c r="C19" s="247"/>
      <c r="D19" s="251"/>
    </row>
    <row r="20" spans="2:4" ht="13.5" thickBot="1" x14ac:dyDescent="0.25">
      <c r="B20" s="248"/>
      <c r="C20" s="249"/>
      <c r="D20" s="252"/>
    </row>
    <row r="21" spans="2:4" x14ac:dyDescent="0.2">
      <c r="B21" s="66" t="s">
        <v>87</v>
      </c>
      <c r="C21" s="134">
        <v>40</v>
      </c>
      <c r="D21" s="67">
        <f>C21*3.7854</f>
        <v>151.416</v>
      </c>
    </row>
    <row r="22" spans="2:4" ht="13.5" thickBot="1" x14ac:dyDescent="0.25">
      <c r="B22" s="68" t="s">
        <v>88</v>
      </c>
      <c r="C22" s="69">
        <v>100</v>
      </c>
      <c r="D22" s="70">
        <f>C22/3.7854</f>
        <v>26.417287472922279</v>
      </c>
    </row>
    <row r="23" spans="2:4" ht="21.75" customHeight="1" thickTop="1" thickBot="1" x14ac:dyDescent="0.25">
      <c r="B23" s="147" t="str">
        <f>'OE-CFF'!G16</f>
        <v>Version V30</v>
      </c>
      <c r="D23" s="135" t="s">
        <v>60</v>
      </c>
    </row>
    <row r="24" spans="2:4" ht="18" customHeight="1" thickTop="1" x14ac:dyDescent="0.2">
      <c r="B24" s="119"/>
    </row>
  </sheetData>
  <sheetProtection sheet="1" objects="1" scenarios="1"/>
  <mergeCells count="8">
    <mergeCell ref="B18:C20"/>
    <mergeCell ref="D18:D20"/>
    <mergeCell ref="B2:B3"/>
    <mergeCell ref="C2:D2"/>
    <mergeCell ref="C14:D14"/>
    <mergeCell ref="C15:D15"/>
    <mergeCell ref="C16:D16"/>
    <mergeCell ref="C17:D17"/>
  </mergeCells>
  <conditionalFormatting sqref="B15">
    <cfRule type="cellIs" dxfId="39" priority="1" operator="greaterThan">
      <formula>152</formula>
    </cfRule>
  </conditionalFormatting>
  <conditionalFormatting sqref="C11">
    <cfRule type="cellIs" dxfId="38" priority="4" stopIfTrue="1" operator="greaterThan">
      <formula>1150</formula>
    </cfRule>
    <cfRule type="cellIs" dxfId="37" priority="5" stopIfTrue="1" operator="lessThan">
      <formula>1150</formula>
    </cfRule>
    <cfRule type="cellIs" dxfId="36" priority="6" stopIfTrue="1" operator="greaterThan">
      <formula>1140.31</formula>
    </cfRule>
    <cfRule type="cellIs" dxfId="35" priority="7" stopIfTrue="1" operator="lessThan">
      <formula>1150</formula>
    </cfRule>
    <cfRule type="cellIs" dxfId="34" priority="8" stopIfTrue="1" operator="greaterThan">
      <formula>1150</formula>
    </cfRule>
    <cfRule type="colorScale" priority="9">
      <colorScale>
        <cfvo type="num" val="0"/>
        <cfvo type="num" val="1150"/>
        <color rgb="FF92D050"/>
        <color rgb="FFFF0000"/>
      </colorScale>
    </cfRule>
  </conditionalFormatting>
  <conditionalFormatting sqref="D13">
    <cfRule type="cellIs" dxfId="33" priority="2" stopIfTrue="1" operator="lessThan">
      <formula>2.4</formula>
    </cfRule>
    <cfRule type="cellIs" dxfId="32" priority="3" stopIfTrue="1" operator="greaterThan">
      <formula>2.59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"/>
  <sheetViews>
    <sheetView workbookViewId="0">
      <selection activeCell="O30" sqref="O30"/>
    </sheetView>
  </sheetViews>
  <sheetFormatPr baseColWidth="10" defaultColWidth="11.42578125" defaultRowHeight="12.75" x14ac:dyDescent="0.2"/>
  <cols>
    <col min="1" max="1" width="3.42578125" customWidth="1"/>
    <col min="2" max="2" width="27.5703125" customWidth="1"/>
    <col min="3" max="3" width="11.7109375" customWidth="1"/>
    <col min="4" max="4" width="16.140625" customWidth="1"/>
    <col min="5" max="5" width="3.7109375" customWidth="1"/>
  </cols>
  <sheetData>
    <row r="1" spans="1:11" ht="13.5" thickBot="1" x14ac:dyDescent="0.25">
      <c r="B1" t="s">
        <v>1</v>
      </c>
    </row>
    <row r="2" spans="1:11" ht="18.75" customHeight="1" thickTop="1" x14ac:dyDescent="0.2">
      <c r="B2" s="253" t="s">
        <v>66</v>
      </c>
      <c r="C2" s="255" t="s">
        <v>89</v>
      </c>
      <c r="D2" s="256"/>
    </row>
    <row r="3" spans="1:11" ht="21.75" customHeight="1" thickBot="1" x14ac:dyDescent="0.25">
      <c r="B3" s="254"/>
      <c r="C3" s="52" t="s">
        <v>68</v>
      </c>
      <c r="D3" s="53" t="s">
        <v>69</v>
      </c>
    </row>
    <row r="4" spans="1:11" ht="18.75" customHeight="1" x14ac:dyDescent="0.2">
      <c r="B4" s="54" t="s">
        <v>25</v>
      </c>
      <c r="C4" s="116">
        <v>788.54</v>
      </c>
      <c r="D4" s="55">
        <v>1936.79</v>
      </c>
      <c r="E4" s="12"/>
      <c r="I4" s="42"/>
      <c r="J4" s="105" t="s">
        <v>70</v>
      </c>
      <c r="K4" s="105" t="s">
        <v>71</v>
      </c>
    </row>
    <row r="5" spans="1:11" ht="17.25" customHeight="1" x14ac:dyDescent="0.2">
      <c r="B5" s="56" t="s">
        <v>72</v>
      </c>
      <c r="C5" s="117">
        <f>0+C17</f>
        <v>-2.5364999999999998</v>
      </c>
      <c r="D5" s="57">
        <f>C5*1</f>
        <v>-2.5364999999999998</v>
      </c>
      <c r="E5" s="12"/>
      <c r="I5" s="42"/>
      <c r="J5" s="105">
        <v>2.4</v>
      </c>
      <c r="K5" s="105">
        <v>780</v>
      </c>
    </row>
    <row r="6" spans="1:11" ht="15.75" customHeight="1" x14ac:dyDescent="0.2">
      <c r="B6" s="56" t="s">
        <v>73</v>
      </c>
      <c r="C6" s="118">
        <v>205</v>
      </c>
      <c r="D6" s="57">
        <f>C6*2.3</f>
        <v>471.49999999999994</v>
      </c>
      <c r="E6" s="12"/>
      <c r="H6" s="119"/>
      <c r="I6" s="42"/>
      <c r="J6" s="105">
        <v>2.4</v>
      </c>
      <c r="K6" s="105">
        <v>980</v>
      </c>
    </row>
    <row r="7" spans="1:11" ht="15.75" customHeight="1" x14ac:dyDescent="0.2">
      <c r="B7" s="56" t="s">
        <v>74</v>
      </c>
      <c r="C7" s="118">
        <v>10</v>
      </c>
      <c r="D7" s="57">
        <f>C7*3.25</f>
        <v>32.5</v>
      </c>
      <c r="E7" s="12"/>
      <c r="I7" s="42"/>
      <c r="J7" s="105">
        <v>2.46</v>
      </c>
      <c r="K7" s="105">
        <v>1150</v>
      </c>
    </row>
    <row r="8" spans="1:11" ht="17.25" customHeight="1" thickBot="1" x14ac:dyDescent="0.25">
      <c r="B8" s="120" t="s">
        <v>75</v>
      </c>
      <c r="C8" s="121">
        <v>2</v>
      </c>
      <c r="D8" s="122">
        <f>C8*3.65</f>
        <v>7.3</v>
      </c>
      <c r="E8" s="12"/>
      <c r="I8" s="42"/>
      <c r="J8" s="105">
        <v>2.59</v>
      </c>
      <c r="K8" s="105">
        <v>1150</v>
      </c>
    </row>
    <row r="9" spans="1:11" ht="18" customHeight="1" thickTop="1" thickBot="1" x14ac:dyDescent="0.25">
      <c r="B9" s="123" t="s">
        <v>76</v>
      </c>
      <c r="C9" s="124">
        <f>SUM(C4:C8)</f>
        <v>1003.0034999999999</v>
      </c>
      <c r="D9" s="125">
        <f>SUM(D4:D8)</f>
        <v>2445.5535</v>
      </c>
      <c r="E9" s="12"/>
      <c r="I9" s="42"/>
      <c r="J9" s="105">
        <v>2.59</v>
      </c>
      <c r="K9" s="105">
        <v>780</v>
      </c>
    </row>
    <row r="10" spans="1:11" ht="18" customHeight="1" thickTop="1" thickBot="1" x14ac:dyDescent="0.25">
      <c r="B10" s="126" t="s">
        <v>77</v>
      </c>
      <c r="C10" s="127">
        <f>0+C15</f>
        <v>109.44</v>
      </c>
      <c r="D10" s="128">
        <f>C10*2.63</f>
        <v>287.8272</v>
      </c>
      <c r="E10" s="12"/>
      <c r="H10" s="112" t="s">
        <v>78</v>
      </c>
      <c r="I10" s="42"/>
      <c r="J10" s="105"/>
      <c r="K10" s="105"/>
    </row>
    <row r="11" spans="1:11" ht="18.75" customHeight="1" thickTop="1" thickBot="1" x14ac:dyDescent="0.25">
      <c r="B11" s="123" t="s">
        <v>79</v>
      </c>
      <c r="C11" s="124">
        <f>SUM(C9:C10)</f>
        <v>1112.4434999999999</v>
      </c>
      <c r="D11" s="125">
        <f>SUM(D9:D10)</f>
        <v>2733.3807000000002</v>
      </c>
      <c r="E11" s="12"/>
      <c r="H11" s="113">
        <f>C11</f>
        <v>1112.4434999999999</v>
      </c>
      <c r="I11" s="42"/>
      <c r="J11" s="129">
        <f>D13</f>
        <v>2.4570962030880672</v>
      </c>
    </row>
    <row r="12" spans="1:11" ht="13.5" customHeight="1" thickTop="1" x14ac:dyDescent="0.2">
      <c r="B12" s="130" t="s">
        <v>80</v>
      </c>
      <c r="C12" s="131"/>
      <c r="D12" s="132">
        <f>D9/C9</f>
        <v>2.4382302753679328</v>
      </c>
      <c r="E12" s="12"/>
    </row>
    <row r="13" spans="1:11" ht="13.5" thickBot="1" x14ac:dyDescent="0.25">
      <c r="B13" s="133" t="s">
        <v>81</v>
      </c>
      <c r="C13" s="58"/>
      <c r="D13" s="59">
        <f>D11/C11</f>
        <v>2.4570962030880672</v>
      </c>
      <c r="E13" s="12"/>
    </row>
    <row r="14" spans="1:11" ht="18" customHeight="1" x14ac:dyDescent="0.2">
      <c r="A14" s="60"/>
      <c r="B14" s="61" t="s">
        <v>82</v>
      </c>
      <c r="C14" s="257" t="s">
        <v>83</v>
      </c>
      <c r="D14" s="258"/>
      <c r="E14" s="62"/>
    </row>
    <row r="15" spans="1:11" x14ac:dyDescent="0.2">
      <c r="B15" s="63">
        <v>152</v>
      </c>
      <c r="C15" s="259">
        <f>B15*0.72</f>
        <v>109.44</v>
      </c>
      <c r="D15" s="260"/>
    </row>
    <row r="16" spans="1:11" x14ac:dyDescent="0.2">
      <c r="A16" s="60"/>
      <c r="B16" s="64" t="s">
        <v>84</v>
      </c>
      <c r="C16" s="261" t="s">
        <v>85</v>
      </c>
      <c r="D16" s="262"/>
      <c r="E16" s="60"/>
    </row>
    <row r="17" spans="2:4" ht="13.5" thickBot="1" x14ac:dyDescent="0.25">
      <c r="B17" s="65">
        <v>5</v>
      </c>
      <c r="C17" s="263">
        <f>((B17-8)*0.95)*0.89</f>
        <v>-2.5364999999999998</v>
      </c>
      <c r="D17" s="264"/>
    </row>
    <row r="18" spans="2:4" x14ac:dyDescent="0.2">
      <c r="B18" s="244"/>
      <c r="C18" s="245"/>
      <c r="D18" s="250" t="s">
        <v>86</v>
      </c>
    </row>
    <row r="19" spans="2:4" x14ac:dyDescent="0.2">
      <c r="B19" s="246"/>
      <c r="C19" s="247"/>
      <c r="D19" s="251"/>
    </row>
    <row r="20" spans="2:4" ht="13.5" thickBot="1" x14ac:dyDescent="0.25">
      <c r="B20" s="248"/>
      <c r="C20" s="249"/>
      <c r="D20" s="252"/>
    </row>
    <row r="21" spans="2:4" x14ac:dyDescent="0.2">
      <c r="B21" s="66" t="s">
        <v>87</v>
      </c>
      <c r="C21" s="134">
        <v>40</v>
      </c>
      <c r="D21" s="67">
        <f>C21*3.7854</f>
        <v>151.416</v>
      </c>
    </row>
    <row r="22" spans="2:4" ht="13.5" thickBot="1" x14ac:dyDescent="0.25">
      <c r="B22" s="68" t="s">
        <v>88</v>
      </c>
      <c r="C22" s="69">
        <v>100</v>
      </c>
      <c r="D22" s="70">
        <f>C22/3.7854</f>
        <v>26.417287472922279</v>
      </c>
    </row>
    <row r="23" spans="2:4" ht="22.5" customHeight="1" thickTop="1" thickBot="1" x14ac:dyDescent="0.25">
      <c r="B23" s="147" t="str">
        <f>'OE-CFF'!G16</f>
        <v>Version V30</v>
      </c>
      <c r="D23" s="135" t="s">
        <v>60</v>
      </c>
    </row>
    <row r="24" spans="2:4" ht="18" customHeight="1" thickTop="1" x14ac:dyDescent="0.2">
      <c r="B24" s="119"/>
    </row>
  </sheetData>
  <sheetProtection sheet="1" objects="1" scenarios="1"/>
  <mergeCells count="8">
    <mergeCell ref="B18:C20"/>
    <mergeCell ref="D18:D20"/>
    <mergeCell ref="B2:B3"/>
    <mergeCell ref="C2:D2"/>
    <mergeCell ref="C14:D14"/>
    <mergeCell ref="C15:D15"/>
    <mergeCell ref="C16:D16"/>
    <mergeCell ref="C17:D17"/>
  </mergeCells>
  <conditionalFormatting sqref="B15">
    <cfRule type="cellIs" dxfId="31" priority="1" operator="greaterThan">
      <formula>152</formula>
    </cfRule>
  </conditionalFormatting>
  <conditionalFormatting sqref="C11">
    <cfRule type="cellIs" dxfId="30" priority="4" stopIfTrue="1" operator="greaterThan">
      <formula>1150</formula>
    </cfRule>
    <cfRule type="cellIs" dxfId="29" priority="5" stopIfTrue="1" operator="lessThan">
      <formula>1150</formula>
    </cfRule>
    <cfRule type="cellIs" dxfId="28" priority="6" stopIfTrue="1" operator="greaterThan">
      <formula>1140.31</formula>
    </cfRule>
    <cfRule type="cellIs" dxfId="27" priority="7" stopIfTrue="1" operator="lessThan">
      <formula>1150</formula>
    </cfRule>
    <cfRule type="cellIs" dxfId="26" priority="8" stopIfTrue="1" operator="greaterThan">
      <formula>1150</formula>
    </cfRule>
    <cfRule type="colorScale" priority="9">
      <colorScale>
        <cfvo type="num" val="0"/>
        <cfvo type="num" val="1150"/>
        <color rgb="FF92D050"/>
        <color rgb="FFFF0000"/>
      </colorScale>
    </cfRule>
  </conditionalFormatting>
  <conditionalFormatting sqref="D13">
    <cfRule type="cellIs" dxfId="25" priority="2" stopIfTrue="1" operator="lessThan">
      <formula>2.4</formula>
    </cfRule>
    <cfRule type="cellIs" dxfId="24" priority="3" stopIfTrue="1" operator="greaterThan">
      <formula>2.59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" width="1.7109375" customWidth="1"/>
    <col min="2" max="2" width="26.85546875" customWidth="1"/>
    <col min="3" max="3" width="8.28515625" customWidth="1"/>
    <col min="4" max="4" width="7.140625" customWidth="1"/>
    <col min="5" max="5" width="9" customWidth="1"/>
    <col min="6" max="6" width="9.85546875" customWidth="1"/>
    <col min="7" max="7" width="9.140625" customWidth="1"/>
    <col min="9" max="9" width="5.85546875" customWidth="1"/>
    <col min="10" max="10" width="8.140625" customWidth="1"/>
    <col min="11" max="12" width="6.85546875" customWidth="1"/>
    <col min="13" max="13" width="7.28515625" customWidth="1"/>
    <col min="14" max="14" width="13" customWidth="1"/>
    <col min="15" max="15" width="0.7109375" customWidth="1"/>
  </cols>
  <sheetData>
    <row r="1" spans="1:13" ht="13.5" thickBot="1" x14ac:dyDescent="0.25">
      <c r="B1" t="s">
        <v>1</v>
      </c>
      <c r="C1" s="42"/>
    </row>
    <row r="2" spans="1:13" ht="16.5" thickTop="1" x14ac:dyDescent="0.2">
      <c r="B2" s="265" t="s">
        <v>90</v>
      </c>
      <c r="C2" s="266"/>
      <c r="D2" s="236" t="s">
        <v>91</v>
      </c>
      <c r="E2" s="237"/>
      <c r="F2" s="238"/>
    </row>
    <row r="3" spans="1:13" ht="37.5" customHeight="1" x14ac:dyDescent="0.2">
      <c r="B3" s="267"/>
      <c r="C3" s="268"/>
      <c r="D3" s="136"/>
      <c r="E3" s="136" t="s">
        <v>92</v>
      </c>
      <c r="F3" s="77" t="s">
        <v>93</v>
      </c>
      <c r="K3" s="42"/>
      <c r="L3" s="105" t="s">
        <v>70</v>
      </c>
      <c r="M3" s="105" t="s">
        <v>71</v>
      </c>
    </row>
    <row r="4" spans="1:13" ht="15.75" customHeight="1" x14ac:dyDescent="0.2">
      <c r="B4" s="78" t="s">
        <v>45</v>
      </c>
      <c r="C4" s="136" t="s">
        <v>94</v>
      </c>
      <c r="D4" s="136"/>
      <c r="E4" s="137">
        <v>1609.8</v>
      </c>
      <c r="F4" s="138">
        <v>141250</v>
      </c>
      <c r="G4" s="80"/>
      <c r="K4" s="42"/>
      <c r="L4" s="105">
        <v>82</v>
      </c>
      <c r="M4" s="105">
        <v>1200</v>
      </c>
    </row>
    <row r="5" spans="1:13" ht="34.5" customHeight="1" x14ac:dyDescent="0.2">
      <c r="B5" s="78" t="s">
        <v>95</v>
      </c>
      <c r="C5" s="136" t="s">
        <v>96</v>
      </c>
      <c r="D5" s="139">
        <v>34</v>
      </c>
      <c r="E5" s="137">
        <f>D5*6</f>
        <v>204</v>
      </c>
      <c r="F5" s="138">
        <f>(E5*95)</f>
        <v>19380</v>
      </c>
      <c r="G5" s="80"/>
      <c r="J5" s="119"/>
      <c r="K5" s="42"/>
      <c r="L5" s="105">
        <v>82</v>
      </c>
      <c r="M5" s="105">
        <v>2050</v>
      </c>
    </row>
    <row r="6" spans="1:13" ht="22.5" customHeight="1" x14ac:dyDescent="0.2">
      <c r="B6" s="140" t="s">
        <v>97</v>
      </c>
      <c r="C6" s="141" t="s">
        <v>96</v>
      </c>
      <c r="D6" s="141">
        <f>D5+2</f>
        <v>36</v>
      </c>
      <c r="E6" s="142"/>
      <c r="F6" s="143"/>
      <c r="G6" s="80"/>
      <c r="K6" s="42"/>
      <c r="L6" s="105">
        <v>88.5</v>
      </c>
      <c r="M6" s="105">
        <v>2550</v>
      </c>
    </row>
    <row r="7" spans="1:13" ht="18.75" customHeight="1" x14ac:dyDescent="0.2">
      <c r="B7" s="78" t="s">
        <v>98</v>
      </c>
      <c r="C7" s="136" t="s">
        <v>46</v>
      </c>
      <c r="D7" s="139">
        <v>205</v>
      </c>
      <c r="E7" s="137">
        <f>D7*2.2</f>
        <v>451.00000000000006</v>
      </c>
      <c r="F7" s="138">
        <f>E7*80.5</f>
        <v>36305.500000000007</v>
      </c>
      <c r="G7" s="80"/>
      <c r="K7" s="42"/>
      <c r="L7" s="105">
        <v>93</v>
      </c>
      <c r="M7" s="105">
        <v>2550</v>
      </c>
    </row>
    <row r="8" spans="1:13" ht="18" customHeight="1" x14ac:dyDescent="0.2">
      <c r="B8" s="78" t="s">
        <v>74</v>
      </c>
      <c r="C8" s="136" t="s">
        <v>46</v>
      </c>
      <c r="D8" s="139">
        <v>100</v>
      </c>
      <c r="E8" s="137">
        <f>D8*2.2</f>
        <v>220.00000000000003</v>
      </c>
      <c r="F8" s="138">
        <f>(E8*118.1)</f>
        <v>25982.000000000004</v>
      </c>
      <c r="G8" s="80"/>
      <c r="K8" s="42"/>
      <c r="L8" s="105">
        <v>93</v>
      </c>
      <c r="M8" s="105">
        <v>1200</v>
      </c>
    </row>
    <row r="9" spans="1:13" ht="21.75" customHeight="1" thickBot="1" x14ac:dyDescent="0.25">
      <c r="B9" s="78" t="s">
        <v>99</v>
      </c>
      <c r="C9" s="136" t="s">
        <v>46</v>
      </c>
      <c r="D9" s="139">
        <v>5</v>
      </c>
      <c r="E9" s="137">
        <f>D9*2.2</f>
        <v>11</v>
      </c>
      <c r="F9" s="138">
        <f>E9*142.8</f>
        <v>1570.8000000000002</v>
      </c>
      <c r="G9" s="80"/>
      <c r="J9" s="112" t="s">
        <v>78</v>
      </c>
      <c r="K9" s="42"/>
      <c r="L9" s="105"/>
      <c r="M9" s="105"/>
    </row>
    <row r="10" spans="1:13" ht="25.5" customHeight="1" thickTop="1" thickBot="1" x14ac:dyDescent="0.25">
      <c r="B10" s="72" t="s">
        <v>100</v>
      </c>
      <c r="C10" s="108" t="s">
        <v>94</v>
      </c>
      <c r="D10" s="73"/>
      <c r="E10" s="74">
        <f>SUM(E4:E9)</f>
        <v>2495.8000000000002</v>
      </c>
      <c r="F10" s="144">
        <f>SUM(F4:F9)</f>
        <v>224488.3</v>
      </c>
      <c r="G10" s="80"/>
      <c r="J10" s="113">
        <f>E12</f>
        <v>2487.8000000000002</v>
      </c>
      <c r="K10" s="42"/>
      <c r="L10" s="106">
        <f>F13</f>
        <v>89.946430002404028</v>
      </c>
    </row>
    <row r="11" spans="1:13" ht="21.75" customHeight="1" thickTop="1" thickBot="1" x14ac:dyDescent="0.25">
      <c r="B11" s="114" t="s">
        <v>101</v>
      </c>
      <c r="C11" s="81" t="s">
        <v>94</v>
      </c>
      <c r="D11" s="82"/>
      <c r="E11" s="83">
        <v>-8</v>
      </c>
      <c r="F11" s="145">
        <f>(E11*95)</f>
        <v>-760</v>
      </c>
      <c r="G11" s="80"/>
    </row>
    <row r="12" spans="1:13" ht="26.25" customHeight="1" thickTop="1" thickBot="1" x14ac:dyDescent="0.25">
      <c r="A12" s="71"/>
      <c r="B12" s="72" t="s">
        <v>102</v>
      </c>
      <c r="C12" s="108" t="s">
        <v>94</v>
      </c>
      <c r="D12" s="73"/>
      <c r="E12" s="74">
        <f>E10+E11</f>
        <v>2487.8000000000002</v>
      </c>
      <c r="F12" s="144">
        <f>F10+F11</f>
        <v>223728.3</v>
      </c>
      <c r="G12" s="76"/>
    </row>
    <row r="13" spans="1:13" ht="21" customHeight="1" thickTop="1" x14ac:dyDescent="0.2">
      <c r="B13" s="115" t="s">
        <v>57</v>
      </c>
      <c r="C13" s="84" t="s">
        <v>103</v>
      </c>
      <c r="D13" s="269"/>
      <c r="E13" s="270"/>
      <c r="F13" s="85">
        <f>(F10/E10)</f>
        <v>89.946430002404028</v>
      </c>
      <c r="G13" s="80"/>
    </row>
    <row r="14" spans="1:13" ht="18" customHeight="1" x14ac:dyDescent="0.2">
      <c r="B14" s="271"/>
      <c r="C14" s="274" t="s">
        <v>104</v>
      </c>
      <c r="D14" s="274"/>
      <c r="E14" s="274"/>
      <c r="F14" s="275"/>
    </row>
    <row r="15" spans="1:13" x14ac:dyDescent="0.2">
      <c r="B15" s="272"/>
      <c r="C15" s="276" t="s">
        <v>105</v>
      </c>
      <c r="D15" s="276"/>
      <c r="E15" s="146">
        <v>48</v>
      </c>
      <c r="F15" s="86">
        <f>E15*3.7854</f>
        <v>181.69920000000002</v>
      </c>
    </row>
    <row r="16" spans="1:13" x14ac:dyDescent="0.2">
      <c r="B16" s="272"/>
      <c r="C16" s="276" t="s">
        <v>88</v>
      </c>
      <c r="D16" s="276"/>
      <c r="E16" s="146">
        <v>100</v>
      </c>
      <c r="F16" s="86">
        <f>E16/3.7854</f>
        <v>26.417287472922279</v>
      </c>
    </row>
    <row r="17" spans="2:6" x14ac:dyDescent="0.2">
      <c r="B17" s="272"/>
      <c r="C17" s="276" t="s">
        <v>106</v>
      </c>
      <c r="D17" s="276"/>
      <c r="E17" s="146">
        <v>195</v>
      </c>
      <c r="F17" s="87">
        <f>E17*2.2</f>
        <v>429.00000000000006</v>
      </c>
    </row>
    <row r="18" spans="2:6" ht="13.5" thickBot="1" x14ac:dyDescent="0.25">
      <c r="B18" s="273"/>
      <c r="C18" s="277" t="s">
        <v>107</v>
      </c>
      <c r="D18" s="277"/>
      <c r="E18" s="88">
        <v>50</v>
      </c>
      <c r="F18" s="89">
        <f>E18*6</f>
        <v>300</v>
      </c>
    </row>
    <row r="19" spans="2:6" ht="23.25" customHeight="1" thickTop="1" thickBot="1" x14ac:dyDescent="0.25">
      <c r="B19" s="147" t="str">
        <f>'OE-CFF'!G16</f>
        <v>Version V30</v>
      </c>
      <c r="C19" s="42"/>
      <c r="F19" s="90" t="s">
        <v>60</v>
      </c>
    </row>
    <row r="20" spans="2:6" ht="19.5" customHeight="1" thickTop="1" x14ac:dyDescent="0.2">
      <c r="B20" s="119"/>
    </row>
  </sheetData>
  <sheetProtection sheet="1" objects="1" scenarios="1"/>
  <mergeCells count="9">
    <mergeCell ref="B2:C3"/>
    <mergeCell ref="D2:F2"/>
    <mergeCell ref="D13:E13"/>
    <mergeCell ref="B14:B18"/>
    <mergeCell ref="C14:F14"/>
    <mergeCell ref="C15:D15"/>
    <mergeCell ref="C16:D16"/>
    <mergeCell ref="C17:D17"/>
    <mergeCell ref="C18:D18"/>
  </mergeCells>
  <conditionalFormatting sqref="E12">
    <cfRule type="cellIs" dxfId="23" priority="1" stopIfTrue="1" operator="lessThan">
      <formula>2550</formula>
    </cfRule>
    <cfRule type="cellIs" dxfId="22" priority="2" stopIfTrue="1" operator="greaterThan">
      <formula>2550</formula>
    </cfRule>
  </conditionalFormatting>
  <conditionalFormatting sqref="F13">
    <cfRule type="cellIs" dxfId="21" priority="3" stopIfTrue="1" operator="between">
      <formula>82</formula>
      <formula>93</formula>
    </cfRule>
    <cfRule type="cellIs" dxfId="20" priority="4" stopIfTrue="1" operator="notBetween">
      <formula>82</formula>
      <formula>93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9"/>
  <sheetViews>
    <sheetView workbookViewId="0">
      <selection activeCell="U24" sqref="U24"/>
    </sheetView>
  </sheetViews>
  <sheetFormatPr baseColWidth="10" defaultColWidth="11.42578125" defaultRowHeight="12.75" x14ac:dyDescent="0.2"/>
  <cols>
    <col min="1" max="1" width="2.7109375" customWidth="1"/>
    <col min="2" max="2" width="3.85546875" customWidth="1"/>
    <col min="3" max="3" width="38.28515625" customWidth="1"/>
    <col min="4" max="4" width="9.85546875" customWidth="1"/>
    <col min="5" max="5" width="6.42578125" customWidth="1"/>
    <col min="6" max="6" width="7.42578125" customWidth="1"/>
    <col min="7" max="7" width="7.140625" customWidth="1"/>
    <col min="8" max="8" width="7.28515625" customWidth="1"/>
    <col min="9" max="9" width="10.28515625" customWidth="1"/>
    <col min="10" max="10" width="8.7109375" customWidth="1"/>
    <col min="11" max="12" width="8.5703125" customWidth="1"/>
    <col min="13" max="13" width="8.140625" customWidth="1"/>
    <col min="14" max="14" width="8.5703125" customWidth="1"/>
    <col min="15" max="15" width="8.85546875" customWidth="1"/>
    <col min="16" max="16" width="9" customWidth="1"/>
  </cols>
  <sheetData>
    <row r="1" spans="1:20" ht="9" customHeight="1" x14ac:dyDescent="0.2"/>
    <row r="2" spans="1:20" ht="9" customHeight="1" x14ac:dyDescent="0.2"/>
    <row r="3" spans="1:20" ht="16.5" customHeight="1" x14ac:dyDescent="0.2">
      <c r="C3" t="s">
        <v>1</v>
      </c>
      <c r="F3" s="217"/>
      <c r="G3" s="217" t="s">
        <v>0</v>
      </c>
    </row>
    <row r="4" spans="1:20" ht="9.75" customHeight="1" thickBot="1" x14ac:dyDescent="0.25"/>
    <row r="5" spans="1:20" ht="41.25" customHeight="1" thickBot="1" x14ac:dyDescent="0.25">
      <c r="B5" s="91"/>
      <c r="C5" s="226" t="s">
        <v>108</v>
      </c>
      <c r="D5" s="280"/>
      <c r="E5" s="21"/>
      <c r="F5" s="1" t="s">
        <v>3</v>
      </c>
      <c r="G5" s="5" t="s">
        <v>4</v>
      </c>
      <c r="H5" s="1" t="s">
        <v>5</v>
      </c>
      <c r="I5" s="14" t="s">
        <v>6</v>
      </c>
    </row>
    <row r="6" spans="1:20" ht="21" customHeight="1" thickBot="1" x14ac:dyDescent="0.25">
      <c r="A6" s="12"/>
      <c r="B6" s="92" t="s">
        <v>7</v>
      </c>
      <c r="C6" s="281" t="s">
        <v>109</v>
      </c>
      <c r="D6" s="282"/>
      <c r="E6" s="31"/>
      <c r="F6" s="205">
        <v>1.052</v>
      </c>
      <c r="G6" s="22">
        <v>792.5</v>
      </c>
      <c r="H6" s="19">
        <v>834.2</v>
      </c>
      <c r="I6" s="15">
        <f>(H6/G6)*1000</f>
        <v>1052.6182965299683</v>
      </c>
    </row>
    <row r="7" spans="1:20" ht="24" customHeight="1" thickBot="1" x14ac:dyDescent="0.25">
      <c r="A7" s="12"/>
      <c r="B7" s="93">
        <v>2</v>
      </c>
      <c r="C7" s="94" t="s">
        <v>110</v>
      </c>
      <c r="D7" s="95"/>
      <c r="E7" s="32"/>
      <c r="F7" s="3">
        <v>0.94</v>
      </c>
      <c r="G7" s="24">
        <v>180</v>
      </c>
      <c r="H7" s="25">
        <f>F7*G7</f>
        <v>169.2</v>
      </c>
      <c r="I7" s="16">
        <f>(H7/G7)*1000</f>
        <v>940</v>
      </c>
    </row>
    <row r="8" spans="1:20" ht="21.75" customHeight="1" thickTop="1" thickBot="1" x14ac:dyDescent="0.25">
      <c r="A8" s="12"/>
      <c r="B8" s="96">
        <v>3</v>
      </c>
      <c r="C8" s="94" t="s">
        <v>111</v>
      </c>
      <c r="D8" s="95"/>
      <c r="E8" s="32"/>
      <c r="F8" s="3">
        <v>1.8540000000000001</v>
      </c>
      <c r="G8" s="24">
        <v>20</v>
      </c>
      <c r="H8" s="25">
        <f>F8*G8</f>
        <v>37.08</v>
      </c>
      <c r="I8" s="16">
        <f>IF(G8=0,"-",(H8/G8)*1000)</f>
        <v>1853.9999999999998</v>
      </c>
    </row>
    <row r="9" spans="1:20" ht="22.5" customHeight="1" thickTop="1" thickBot="1" x14ac:dyDescent="0.25">
      <c r="A9" s="12"/>
      <c r="B9" s="97">
        <v>4</v>
      </c>
      <c r="C9" s="283" t="s">
        <v>112</v>
      </c>
      <c r="D9" s="279"/>
      <c r="E9" s="33"/>
      <c r="F9" s="3">
        <v>2.4129999999999998</v>
      </c>
      <c r="G9" s="24">
        <v>3</v>
      </c>
      <c r="H9" s="25">
        <f>F9*G9</f>
        <v>7.238999999999999</v>
      </c>
      <c r="I9" s="16">
        <f>IF(G9=0,"-",(H9/G9)*1000)</f>
        <v>2413</v>
      </c>
    </row>
    <row r="10" spans="1:20" ht="20.25" customHeight="1" thickTop="1" thickBot="1" x14ac:dyDescent="0.25">
      <c r="A10" s="12"/>
      <c r="B10" s="98">
        <v>5</v>
      </c>
      <c r="C10" s="278" t="s">
        <v>113</v>
      </c>
      <c r="D10" s="279"/>
      <c r="E10" s="33"/>
      <c r="F10" s="3">
        <v>3.1240000000000001</v>
      </c>
      <c r="G10" s="24">
        <v>0</v>
      </c>
      <c r="H10" s="25">
        <f>F10*G10</f>
        <v>0</v>
      </c>
      <c r="I10" s="16" t="str">
        <f>IF(G10=0,"-",(H10/G10)*1000)</f>
        <v>-</v>
      </c>
    </row>
    <row r="11" spans="1:20" ht="18" customHeight="1" thickTop="1" thickBot="1" x14ac:dyDescent="0.25">
      <c r="A11" s="12"/>
      <c r="B11" s="99">
        <v>6</v>
      </c>
      <c r="C11" s="278" t="s">
        <v>13</v>
      </c>
      <c r="D11" s="279"/>
      <c r="E11" s="33"/>
      <c r="F11" s="12">
        <f>H11/G11</f>
        <v>1.0524550477147163</v>
      </c>
      <c r="G11" s="26">
        <f>SUM(G6:G10)</f>
        <v>995.5</v>
      </c>
      <c r="H11" s="27">
        <f>SUM(H6:H10)</f>
        <v>1047.7190000000001</v>
      </c>
      <c r="I11" s="16">
        <f>(H11/G11)*1000</f>
        <v>1052.4550477147163</v>
      </c>
    </row>
    <row r="12" spans="1:20" ht="22.5" customHeight="1" thickBot="1" x14ac:dyDescent="0.25">
      <c r="A12" s="12"/>
      <c r="B12" s="100" t="s">
        <v>14</v>
      </c>
      <c r="C12" s="101" t="s">
        <v>114</v>
      </c>
      <c r="D12" s="102">
        <v>200</v>
      </c>
      <c r="E12" s="213"/>
      <c r="F12" s="43">
        <v>1.1599999999999999</v>
      </c>
      <c r="G12" s="28">
        <f>D12*0.72</f>
        <v>144</v>
      </c>
      <c r="H12" s="25">
        <f>F12*G12</f>
        <v>167.04</v>
      </c>
      <c r="I12" s="16">
        <f>(H12/G12)*1000</f>
        <v>1160</v>
      </c>
    </row>
    <row r="13" spans="1:20" ht="24" customHeight="1" thickTop="1" thickBot="1" x14ac:dyDescent="0.25">
      <c r="A13" s="12"/>
      <c r="B13" s="99" t="s">
        <v>16</v>
      </c>
      <c r="C13" s="278" t="s">
        <v>115</v>
      </c>
      <c r="D13" s="279"/>
      <c r="E13" s="33"/>
      <c r="F13" s="3">
        <f>H13/G13</f>
        <v>1.066045634050022</v>
      </c>
      <c r="G13" s="26">
        <f>SUM(G11:G12)</f>
        <v>1139.5</v>
      </c>
      <c r="H13" s="27">
        <f>SUM(H11:H12)</f>
        <v>1214.759</v>
      </c>
      <c r="I13" s="16">
        <f>(H13/G13)*1000</f>
        <v>1066.045634050022</v>
      </c>
    </row>
    <row r="14" spans="1:20" ht="32.25" customHeight="1" thickBot="1" x14ac:dyDescent="0.25">
      <c r="A14" s="12"/>
      <c r="B14" s="103" t="s">
        <v>18</v>
      </c>
      <c r="C14" s="104" t="s">
        <v>19</v>
      </c>
      <c r="D14" s="102">
        <v>3</v>
      </c>
      <c r="E14" s="213"/>
      <c r="F14" s="43">
        <v>1.2130000000000001</v>
      </c>
      <c r="G14" s="26">
        <f>-(D14*0.72)</f>
        <v>-2.16</v>
      </c>
      <c r="H14" s="27">
        <f>F14*G14</f>
        <v>-2.6200800000000002</v>
      </c>
      <c r="I14" s="16">
        <f>(H14/G14)*1000</f>
        <v>1213</v>
      </c>
    </row>
    <row r="15" spans="1:20" ht="26.25" customHeight="1" thickTop="1" thickBot="1" x14ac:dyDescent="0.25">
      <c r="A15" s="12"/>
      <c r="B15" s="99" t="s">
        <v>20</v>
      </c>
      <c r="C15" s="278" t="s">
        <v>116</v>
      </c>
      <c r="D15" s="279"/>
      <c r="E15" s="34"/>
      <c r="F15" s="4">
        <f>H15/G15</f>
        <v>1.0657665429862664</v>
      </c>
      <c r="G15" s="29">
        <f>SUM(G13:G14)</f>
        <v>1137.3399999999999</v>
      </c>
      <c r="H15" s="30">
        <f>SUM(H13:H14)</f>
        <v>1212.1389200000001</v>
      </c>
      <c r="I15" s="17">
        <f>(H15/G15)*1000</f>
        <v>1065.7665429862664</v>
      </c>
    </row>
    <row r="16" spans="1:20" ht="4.5" customHeight="1" thickBot="1" x14ac:dyDescent="0.3">
      <c r="B16" s="18"/>
      <c r="C16" s="216" t="str">
        <f>IF(G9&gt;54,"Zuladung Gepäckraum 1  überschritten!","")</f>
        <v/>
      </c>
      <c r="D16" s="18"/>
      <c r="E16" s="18"/>
      <c r="F16" s="18"/>
      <c r="G16" s="215"/>
      <c r="H16" s="218" t="str">
        <f>IF(OR(I15&gt;1201,I11&gt;1201,I13&gt;1201),"Hintere Schwerpunktgrenze überschritten!","")</f>
        <v/>
      </c>
      <c r="I16" s="215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2" ht="22.5" customHeight="1" thickBot="1" x14ac:dyDescent="0.25">
      <c r="B17" s="18"/>
      <c r="C17" s="149" t="str">
        <f>'OE-CFF'!G16</f>
        <v>Version V30</v>
      </c>
      <c r="D17" s="44"/>
      <c r="E17" s="44"/>
      <c r="F17" s="44"/>
      <c r="G17" s="44"/>
      <c r="H17" s="45" t="str">
        <f>IF(G13&gt;1160,"Max. Rampenmasse überschritten!","")</f>
        <v/>
      </c>
      <c r="I17" s="44"/>
      <c r="J17" s="44"/>
      <c r="K17" s="44"/>
      <c r="L17" s="44"/>
      <c r="M17" s="44"/>
      <c r="N17" s="44"/>
      <c r="O17" s="44"/>
      <c r="P17" s="44"/>
      <c r="Q17" s="44"/>
      <c r="R17" s="18"/>
      <c r="S17" s="18"/>
      <c r="T17" s="18"/>
    </row>
    <row r="18" spans="1:22" ht="19.5" customHeight="1" x14ac:dyDescent="0.25">
      <c r="B18" s="18"/>
      <c r="C18" s="216" t="str">
        <f>IF(G9+G10&gt;54,"Max. Gepäckzuladung überschritten!","")</f>
        <v/>
      </c>
      <c r="D18" s="44"/>
      <c r="E18" s="46">
        <v>0</v>
      </c>
      <c r="F18" s="44"/>
      <c r="G18" s="44"/>
      <c r="H18" s="45" t="str">
        <f>IF(G15&gt;1158,"Max. Abflugmasse überschritten!","")</f>
        <v/>
      </c>
      <c r="I18" s="44"/>
      <c r="J18" s="44"/>
      <c r="K18" s="44"/>
      <c r="L18" s="44"/>
      <c r="M18" s="44"/>
      <c r="N18" s="44"/>
      <c r="O18" s="44"/>
      <c r="P18" s="44"/>
      <c r="Q18" s="44"/>
      <c r="R18" s="18"/>
      <c r="S18" s="18"/>
      <c r="T18" s="18"/>
      <c r="U18" s="35"/>
      <c r="V18" s="35"/>
    </row>
    <row r="19" spans="1:22" x14ac:dyDescent="0.2">
      <c r="A19" s="18"/>
      <c r="B19" s="18"/>
      <c r="C19" s="18"/>
      <c r="D19" s="44"/>
      <c r="E19" s="44"/>
      <c r="F19" s="46"/>
      <c r="G19" s="46"/>
      <c r="H19" s="46"/>
      <c r="I19" s="44"/>
      <c r="J19" s="44"/>
      <c r="K19" s="44"/>
      <c r="L19" s="44"/>
      <c r="M19" s="44"/>
      <c r="N19" s="44"/>
      <c r="O19" s="44"/>
      <c r="P19" s="44"/>
      <c r="Q19" s="44"/>
      <c r="R19" s="18"/>
      <c r="S19" s="18"/>
      <c r="T19" s="18"/>
      <c r="U19" s="35"/>
      <c r="V19" s="35"/>
    </row>
    <row r="20" spans="1:22" x14ac:dyDescent="0.2">
      <c r="A20" s="18"/>
      <c r="B20" s="18"/>
      <c r="C20" s="18"/>
      <c r="D20" s="44"/>
      <c r="E20" s="44"/>
      <c r="F20" s="44"/>
      <c r="G20" s="46"/>
      <c r="H20" s="46"/>
      <c r="I20" s="44"/>
      <c r="J20" s="44"/>
      <c r="K20" s="44"/>
      <c r="L20" s="44"/>
      <c r="M20" s="44"/>
      <c r="N20" s="44"/>
      <c r="O20" s="44"/>
      <c r="P20" s="44"/>
      <c r="Q20" s="44"/>
      <c r="R20" s="18"/>
      <c r="S20" s="18"/>
      <c r="T20" s="18"/>
      <c r="U20" s="35"/>
      <c r="V20" s="35"/>
    </row>
    <row r="21" spans="1:22" x14ac:dyDescent="0.2">
      <c r="A21" s="18"/>
      <c r="B21" s="18"/>
      <c r="C21" s="18"/>
      <c r="D21" s="44"/>
      <c r="E21" s="44"/>
      <c r="F21" s="44"/>
      <c r="G21" s="46" t="s">
        <v>23</v>
      </c>
      <c r="H21" s="46" t="s">
        <v>24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8"/>
      <c r="U21" s="35"/>
      <c r="V21" s="35"/>
    </row>
    <row r="22" spans="1:22" x14ac:dyDescent="0.2">
      <c r="A22" s="18"/>
      <c r="B22" s="18"/>
      <c r="C22" s="18"/>
      <c r="D22" s="47" t="s">
        <v>25</v>
      </c>
      <c r="E22" s="44"/>
      <c r="F22" s="44"/>
      <c r="G22" s="48">
        <v>789</v>
      </c>
      <c r="H22" s="48">
        <f>H6</f>
        <v>834.2</v>
      </c>
      <c r="I22" s="48"/>
      <c r="J22" s="44"/>
      <c r="K22" s="46">
        <v>250</v>
      </c>
      <c r="L22" s="46">
        <v>270</v>
      </c>
      <c r="M22" s="46">
        <v>290</v>
      </c>
      <c r="N22" s="46">
        <v>310</v>
      </c>
      <c r="O22" s="46">
        <v>330</v>
      </c>
      <c r="P22" s="46">
        <v>350</v>
      </c>
      <c r="Q22" s="46">
        <v>370</v>
      </c>
      <c r="R22" s="46">
        <v>390</v>
      </c>
      <c r="S22" s="44"/>
      <c r="T22" s="18"/>
      <c r="U22" s="35"/>
      <c r="V22" s="35"/>
    </row>
    <row r="23" spans="1:22" x14ac:dyDescent="0.2">
      <c r="A23" s="18"/>
      <c r="B23" s="18"/>
      <c r="C23" s="18"/>
      <c r="D23" s="47" t="s">
        <v>26</v>
      </c>
      <c r="E23" s="47"/>
      <c r="F23" s="48">
        <f>G23-G30</f>
        <v>969</v>
      </c>
      <c r="G23" s="48">
        <f t="shared" ref="G23:H26" si="0">G22+G7</f>
        <v>969</v>
      </c>
      <c r="H23" s="48">
        <f t="shared" si="0"/>
        <v>1003.4000000000001</v>
      </c>
      <c r="I23" s="48"/>
      <c r="J23" s="44">
        <v>1158</v>
      </c>
      <c r="K23" s="46">
        <f t="shared" ref="K23:R24" si="1">K$22*$J23/1000</f>
        <v>289.5</v>
      </c>
      <c r="L23" s="46">
        <f t="shared" si="1"/>
        <v>312.66000000000003</v>
      </c>
      <c r="M23" s="46">
        <f t="shared" si="1"/>
        <v>335.82</v>
      </c>
      <c r="N23" s="46">
        <f t="shared" si="1"/>
        <v>358.98</v>
      </c>
      <c r="O23" s="46">
        <f t="shared" si="1"/>
        <v>382.14</v>
      </c>
      <c r="P23" s="46">
        <f t="shared" si="1"/>
        <v>405.3</v>
      </c>
      <c r="Q23" s="46">
        <f t="shared" si="1"/>
        <v>428.46</v>
      </c>
      <c r="R23" s="46">
        <f t="shared" si="1"/>
        <v>451.62</v>
      </c>
      <c r="S23" s="44"/>
      <c r="T23" s="18"/>
      <c r="U23" s="35"/>
      <c r="V23" s="35"/>
    </row>
    <row r="24" spans="1:22" x14ac:dyDescent="0.2">
      <c r="A24" s="18"/>
      <c r="B24" s="18"/>
      <c r="C24" s="18"/>
      <c r="D24" s="49" t="s">
        <v>27</v>
      </c>
      <c r="E24" s="50"/>
      <c r="F24" s="48">
        <f>G24-G23</f>
        <v>20</v>
      </c>
      <c r="G24" s="48">
        <f t="shared" si="0"/>
        <v>989</v>
      </c>
      <c r="H24" s="48">
        <f t="shared" si="0"/>
        <v>1040.48</v>
      </c>
      <c r="I24" s="48"/>
      <c r="J24" s="44">
        <v>560</v>
      </c>
      <c r="K24" s="46">
        <f t="shared" si="1"/>
        <v>140</v>
      </c>
      <c r="L24" s="46">
        <f t="shared" si="1"/>
        <v>151.19999999999999</v>
      </c>
      <c r="M24" s="46">
        <f t="shared" si="1"/>
        <v>162.4</v>
      </c>
      <c r="N24" s="46">
        <f t="shared" si="1"/>
        <v>173.6</v>
      </c>
      <c r="O24" s="46">
        <f t="shared" si="1"/>
        <v>184.8</v>
      </c>
      <c r="P24" s="46">
        <f t="shared" si="1"/>
        <v>196</v>
      </c>
      <c r="Q24" s="46">
        <f t="shared" si="1"/>
        <v>207.2</v>
      </c>
      <c r="R24" s="46">
        <f t="shared" si="1"/>
        <v>218.4</v>
      </c>
      <c r="S24" s="44"/>
      <c r="T24" s="18"/>
      <c r="U24" s="35"/>
      <c r="V24" s="35"/>
    </row>
    <row r="25" spans="1:22" x14ac:dyDescent="0.2">
      <c r="A25" s="18"/>
      <c r="B25" s="18"/>
      <c r="C25" s="18"/>
      <c r="D25" s="49" t="s">
        <v>28</v>
      </c>
      <c r="E25" s="50"/>
      <c r="F25" s="48">
        <f>G25-G24</f>
        <v>3</v>
      </c>
      <c r="G25" s="48">
        <f t="shared" si="0"/>
        <v>992</v>
      </c>
      <c r="H25" s="48">
        <f t="shared" si="0"/>
        <v>1047.7190000000001</v>
      </c>
      <c r="I25" s="48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18"/>
      <c r="U25" s="35"/>
      <c r="V25" s="35"/>
    </row>
    <row r="26" spans="1:22" x14ac:dyDescent="0.2">
      <c r="A26" s="18"/>
      <c r="B26" s="18"/>
      <c r="C26" s="18"/>
      <c r="D26" s="49" t="s">
        <v>29</v>
      </c>
      <c r="E26" s="51"/>
      <c r="F26" s="48">
        <f>G26-G25</f>
        <v>0</v>
      </c>
      <c r="G26" s="48">
        <f t="shared" si="0"/>
        <v>992</v>
      </c>
      <c r="H26" s="48">
        <f t="shared" si="0"/>
        <v>1047.7190000000001</v>
      </c>
      <c r="I26" s="48"/>
      <c r="J26" s="44">
        <v>730</v>
      </c>
      <c r="K26" s="44">
        <f>J26*K22/1000</f>
        <v>182.5</v>
      </c>
      <c r="L26" s="44"/>
      <c r="M26" s="48">
        <f>H13</f>
        <v>1214.759</v>
      </c>
      <c r="N26" s="48">
        <f>G13</f>
        <v>1139.5</v>
      </c>
      <c r="O26" s="44"/>
      <c r="P26" s="44"/>
      <c r="Q26" s="44"/>
      <c r="R26" s="44"/>
      <c r="S26" s="44"/>
      <c r="T26" s="18"/>
      <c r="U26" s="35"/>
      <c r="V26" s="35"/>
    </row>
    <row r="27" spans="1:22" x14ac:dyDescent="0.2">
      <c r="A27" s="18"/>
      <c r="B27" s="18"/>
      <c r="C27" s="18"/>
      <c r="D27" s="49" t="s">
        <v>30</v>
      </c>
      <c r="E27" s="51"/>
      <c r="F27" s="44"/>
      <c r="G27" s="48">
        <f>G26+G12</f>
        <v>1136</v>
      </c>
      <c r="H27" s="48">
        <f>H26+H12</f>
        <v>1214.759</v>
      </c>
      <c r="I27" s="48"/>
      <c r="J27" s="44">
        <v>730</v>
      </c>
      <c r="K27" s="44">
        <f>J27*R22/1000</f>
        <v>284.7</v>
      </c>
      <c r="L27" s="44"/>
      <c r="M27" s="48">
        <f>H15</f>
        <v>1212.1389200000001</v>
      </c>
      <c r="N27" s="48">
        <f>G15</f>
        <v>1137.3399999999999</v>
      </c>
      <c r="O27" s="44"/>
      <c r="P27" s="44"/>
      <c r="Q27" s="44"/>
      <c r="R27" s="18"/>
      <c r="S27" s="18"/>
      <c r="T27" s="18"/>
      <c r="U27" s="35"/>
      <c r="V27" s="35"/>
    </row>
    <row r="28" spans="1:22" x14ac:dyDescent="0.2">
      <c r="A28" s="18"/>
      <c r="B28" s="18"/>
      <c r="C28" s="18"/>
      <c r="D28" s="49" t="s">
        <v>31</v>
      </c>
      <c r="E28" s="51"/>
      <c r="F28" s="44"/>
      <c r="G28" s="48">
        <f>G27+G14</f>
        <v>1133.8399999999999</v>
      </c>
      <c r="H28" s="48">
        <f>H27+H14</f>
        <v>1212.1389200000001</v>
      </c>
      <c r="I28" s="48"/>
      <c r="J28" s="44"/>
      <c r="K28" s="44"/>
      <c r="L28" s="44"/>
      <c r="M28" s="44"/>
      <c r="N28" s="44"/>
      <c r="O28" s="44"/>
      <c r="P28" s="44"/>
      <c r="Q28" s="44"/>
      <c r="R28" s="18"/>
      <c r="S28" s="18"/>
      <c r="T28" s="18"/>
      <c r="U28" s="35"/>
      <c r="V28" s="35"/>
    </row>
    <row r="29" spans="1:22" x14ac:dyDescent="0.2">
      <c r="A29" s="18"/>
      <c r="B29" s="18"/>
      <c r="C29" s="18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18"/>
      <c r="S29" s="18"/>
      <c r="T29" s="18"/>
      <c r="U29" s="35"/>
      <c r="V29" s="35"/>
    </row>
    <row r="30" spans="1:22" x14ac:dyDescent="0.2">
      <c r="A30" s="18"/>
      <c r="B30" s="18"/>
      <c r="C30" s="18"/>
      <c r="D30" s="44"/>
      <c r="E30" s="44"/>
      <c r="F30" s="44"/>
      <c r="G30" s="48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18"/>
      <c r="S30" s="18"/>
      <c r="T30" s="18"/>
      <c r="U30" s="35"/>
      <c r="V30" s="35"/>
    </row>
    <row r="31" spans="1:22" x14ac:dyDescent="0.2">
      <c r="A31" s="18"/>
      <c r="B31" s="18"/>
      <c r="C31" s="18"/>
      <c r="D31" s="44"/>
      <c r="E31" s="44"/>
      <c r="F31" s="44"/>
      <c r="G31" s="44"/>
      <c r="H31" s="44"/>
      <c r="I31" s="44"/>
      <c r="J31" s="44"/>
      <c r="K31" s="46" t="s">
        <v>32</v>
      </c>
      <c r="L31" s="44"/>
      <c r="M31" s="44"/>
      <c r="N31" s="44"/>
      <c r="O31" s="44"/>
      <c r="P31" s="44"/>
      <c r="Q31" s="44"/>
      <c r="R31" s="18"/>
      <c r="S31" s="18"/>
      <c r="T31" s="18"/>
      <c r="U31" s="35"/>
      <c r="V31" s="35"/>
    </row>
    <row r="32" spans="1:22" x14ac:dyDescent="0.2">
      <c r="A32" s="18"/>
      <c r="B32" s="18"/>
      <c r="C32" s="18"/>
      <c r="D32" s="44"/>
      <c r="E32" s="44"/>
      <c r="F32" s="44"/>
      <c r="G32" s="44"/>
      <c r="H32" s="44"/>
      <c r="I32" s="44"/>
      <c r="J32" s="46" t="s">
        <v>33</v>
      </c>
      <c r="K32" s="46" t="s">
        <v>34</v>
      </c>
      <c r="L32" s="46" t="s">
        <v>35</v>
      </c>
      <c r="M32" s="46" t="s">
        <v>36</v>
      </c>
      <c r="N32" s="44"/>
      <c r="O32" s="44"/>
      <c r="P32" s="44"/>
      <c r="Q32" s="44"/>
      <c r="R32" s="18"/>
      <c r="S32" s="18"/>
      <c r="T32" s="18"/>
      <c r="U32" s="35"/>
      <c r="V32" s="35"/>
    </row>
    <row r="33" spans="1:22" x14ac:dyDescent="0.2">
      <c r="A33" s="18"/>
      <c r="B33" s="18"/>
      <c r="C33" s="18"/>
      <c r="D33" s="44"/>
      <c r="E33" s="44"/>
      <c r="F33" s="44"/>
      <c r="G33" s="44"/>
      <c r="H33" s="44"/>
      <c r="I33" s="44"/>
      <c r="J33" s="46" t="s">
        <v>37</v>
      </c>
      <c r="K33" s="46">
        <v>889</v>
      </c>
      <c r="L33" s="46">
        <v>1201</v>
      </c>
      <c r="M33" s="46">
        <v>885</v>
      </c>
      <c r="N33" s="46">
        <v>889</v>
      </c>
      <c r="O33" s="44" t="s">
        <v>34</v>
      </c>
      <c r="P33" s="44"/>
      <c r="Q33" s="44"/>
      <c r="R33" s="18"/>
      <c r="S33" s="18"/>
      <c r="T33" s="18"/>
      <c r="U33" s="35"/>
      <c r="V33" s="35"/>
    </row>
    <row r="34" spans="1:22" x14ac:dyDescent="0.2">
      <c r="A34" s="18"/>
      <c r="B34" s="18"/>
      <c r="C34" s="18"/>
      <c r="D34" s="44"/>
      <c r="E34" s="44"/>
      <c r="F34" s="44"/>
      <c r="G34" s="44"/>
      <c r="H34" s="44"/>
      <c r="I34" s="44"/>
      <c r="J34" s="46">
        <v>885</v>
      </c>
      <c r="K34" s="46">
        <v>889</v>
      </c>
      <c r="L34" s="46">
        <v>1201</v>
      </c>
      <c r="M34" s="46"/>
      <c r="N34" s="46"/>
      <c r="O34" s="44"/>
      <c r="P34" s="44"/>
      <c r="Q34" s="44"/>
      <c r="R34" s="18"/>
      <c r="S34" s="18"/>
      <c r="T34" s="18"/>
      <c r="U34" s="35"/>
      <c r="V34" s="35"/>
    </row>
    <row r="35" spans="1:22" x14ac:dyDescent="0.2">
      <c r="A35" s="18"/>
      <c r="B35" s="18"/>
      <c r="C35" s="18"/>
      <c r="D35" s="44"/>
      <c r="E35" s="44"/>
      <c r="F35" s="44"/>
      <c r="G35" s="44"/>
      <c r="H35" s="44"/>
      <c r="I35" s="44"/>
      <c r="J35" s="46">
        <v>1158</v>
      </c>
      <c r="K35" s="46">
        <v>1041</v>
      </c>
      <c r="L35" s="46">
        <v>1201</v>
      </c>
      <c r="M35" s="46"/>
      <c r="N35" s="46"/>
      <c r="O35" s="44"/>
      <c r="P35" s="44"/>
      <c r="Q35" s="44"/>
      <c r="R35" s="18"/>
      <c r="S35" s="18"/>
      <c r="T35" s="18"/>
      <c r="U35" s="35"/>
      <c r="V35" s="35"/>
    </row>
    <row r="36" spans="1:22" x14ac:dyDescent="0.2">
      <c r="A36" s="18"/>
      <c r="B36" s="18"/>
      <c r="C36" s="1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18"/>
      <c r="S36" s="18"/>
      <c r="T36" s="18"/>
      <c r="U36" s="35"/>
      <c r="V36" s="35"/>
    </row>
    <row r="37" spans="1:22" x14ac:dyDescent="0.2">
      <c r="A37" s="18"/>
      <c r="B37" s="18"/>
      <c r="C37" s="18"/>
      <c r="D37" s="18"/>
      <c r="E37" s="18"/>
      <c r="F37" s="18"/>
      <c r="G37" s="18"/>
      <c r="H37" s="44"/>
      <c r="I37" s="44"/>
      <c r="J37" s="44"/>
      <c r="K37" s="46" t="s">
        <v>38</v>
      </c>
      <c r="L37" s="46"/>
      <c r="M37" s="46" t="s">
        <v>39</v>
      </c>
      <c r="N37" s="46"/>
      <c r="O37" s="44"/>
      <c r="P37" s="44"/>
      <c r="Q37" s="18"/>
      <c r="R37" s="18"/>
      <c r="S37" s="18"/>
      <c r="T37" s="18"/>
      <c r="U37" s="35"/>
      <c r="V37" s="35"/>
    </row>
    <row r="38" spans="1:22" x14ac:dyDescent="0.2">
      <c r="A38" s="18"/>
      <c r="B38" s="18"/>
      <c r="C38" s="18"/>
      <c r="D38" s="18"/>
      <c r="E38" s="18"/>
      <c r="F38" s="18"/>
      <c r="G38" s="18"/>
      <c r="H38" s="44"/>
      <c r="I38" s="44"/>
      <c r="J38" s="44">
        <v>700</v>
      </c>
      <c r="K38" s="46">
        <v>889</v>
      </c>
      <c r="L38" s="47">
        <f>K38*J38/1000</f>
        <v>622.29999999999995</v>
      </c>
      <c r="M38" s="46">
        <v>1201</v>
      </c>
      <c r="N38" s="44">
        <f>J38*M38/1000</f>
        <v>840.7</v>
      </c>
      <c r="O38" s="44">
        <v>700</v>
      </c>
      <c r="P38" s="44"/>
      <c r="Q38" s="18"/>
      <c r="R38" s="18"/>
      <c r="S38" s="18"/>
      <c r="T38" s="18"/>
      <c r="U38" s="35"/>
      <c r="V38" s="35"/>
    </row>
    <row r="39" spans="1:22" x14ac:dyDescent="0.2">
      <c r="A39" s="18"/>
      <c r="B39" s="18"/>
      <c r="C39" s="18"/>
      <c r="D39" s="18"/>
      <c r="E39" s="18"/>
      <c r="F39" s="18"/>
      <c r="G39" s="18"/>
      <c r="H39" s="44"/>
      <c r="I39" s="44"/>
      <c r="J39" s="44">
        <v>885</v>
      </c>
      <c r="K39" s="46">
        <v>889</v>
      </c>
      <c r="L39" s="47">
        <f>K39*J39/1000</f>
        <v>786.76499999999999</v>
      </c>
      <c r="M39" s="46">
        <v>1201</v>
      </c>
      <c r="N39" s="44">
        <f>J39*M39/1000</f>
        <v>1062.885</v>
      </c>
      <c r="O39" s="44">
        <v>885</v>
      </c>
      <c r="P39" s="44"/>
      <c r="Q39" s="18"/>
      <c r="R39" s="18"/>
      <c r="S39" s="18"/>
      <c r="T39" s="18"/>
      <c r="U39" s="35"/>
      <c r="V39" s="35"/>
    </row>
    <row r="40" spans="1:22" x14ac:dyDescent="0.2">
      <c r="A40" s="18"/>
      <c r="B40" s="18"/>
      <c r="C40" s="18"/>
      <c r="D40" s="18"/>
      <c r="E40" s="18"/>
      <c r="F40" s="18"/>
      <c r="G40" s="18"/>
      <c r="H40" s="44"/>
      <c r="I40" s="44"/>
      <c r="J40" s="44">
        <v>1158</v>
      </c>
      <c r="K40" s="46">
        <v>1041</v>
      </c>
      <c r="L40" s="47">
        <f>K40*J40/1000</f>
        <v>1205.4780000000001</v>
      </c>
      <c r="M40" s="46">
        <v>1201</v>
      </c>
      <c r="N40" s="44">
        <f>J40*M40/1000</f>
        <v>1390.758</v>
      </c>
      <c r="O40" s="44">
        <v>1158</v>
      </c>
      <c r="P40" s="44"/>
      <c r="Q40" s="18"/>
      <c r="R40" s="18"/>
      <c r="S40" s="18"/>
      <c r="T40" s="18"/>
      <c r="U40" s="35"/>
      <c r="V40" s="35"/>
    </row>
    <row r="41" spans="1:22" x14ac:dyDescent="0.2">
      <c r="A41" s="18"/>
      <c r="B41" s="18"/>
      <c r="C41" s="18"/>
      <c r="D41" s="18"/>
      <c r="E41" s="18"/>
      <c r="F41" s="18"/>
      <c r="G41" s="18"/>
      <c r="H41" s="44"/>
      <c r="I41" s="44"/>
      <c r="J41" s="44"/>
      <c r="K41" s="44"/>
      <c r="L41" s="44"/>
      <c r="M41" s="44"/>
      <c r="N41" s="44"/>
      <c r="O41" s="44"/>
      <c r="P41" s="44"/>
      <c r="Q41" s="18"/>
      <c r="R41" s="18"/>
      <c r="S41" s="18"/>
      <c r="T41" s="18"/>
      <c r="U41" s="35"/>
      <c r="V41" s="35"/>
    </row>
    <row r="42" spans="1:22" x14ac:dyDescent="0.2">
      <c r="A42" s="18"/>
      <c r="B42" s="18"/>
      <c r="C42" s="18"/>
      <c r="D42" s="18"/>
      <c r="E42" s="18"/>
      <c r="F42" s="18"/>
      <c r="G42" s="18"/>
      <c r="H42" s="46"/>
      <c r="I42" s="46"/>
      <c r="J42" s="44"/>
      <c r="K42" s="44"/>
      <c r="L42" s="44"/>
      <c r="M42" s="44"/>
      <c r="N42" s="44"/>
      <c r="O42" s="44"/>
      <c r="P42" s="44"/>
      <c r="Q42" s="18"/>
      <c r="R42" s="18"/>
      <c r="S42" s="18"/>
      <c r="T42" s="18"/>
      <c r="U42" s="35"/>
      <c r="V42" s="35"/>
    </row>
    <row r="43" spans="1:22" x14ac:dyDescent="0.2">
      <c r="A43" s="18"/>
      <c r="B43" s="18"/>
      <c r="C43" s="18"/>
      <c r="D43" s="18"/>
      <c r="E43" s="18"/>
      <c r="F43" s="18"/>
      <c r="G43" s="18"/>
      <c r="H43" s="44"/>
      <c r="I43" s="44"/>
      <c r="J43" s="44">
        <v>622.29999999999995</v>
      </c>
      <c r="K43" s="44">
        <v>700</v>
      </c>
      <c r="L43" s="44"/>
      <c r="M43" s="44">
        <v>840.7</v>
      </c>
      <c r="N43" s="44">
        <v>700</v>
      </c>
      <c r="O43" s="44"/>
      <c r="P43" s="44"/>
      <c r="Q43" s="18"/>
      <c r="R43" s="18"/>
      <c r="S43" s="18"/>
      <c r="T43" s="18"/>
      <c r="U43" s="35"/>
      <c r="V43" s="35"/>
    </row>
    <row r="44" spans="1:22" x14ac:dyDescent="0.2">
      <c r="A44" s="18"/>
      <c r="B44" s="18"/>
      <c r="C44" s="18"/>
      <c r="D44" s="18"/>
      <c r="E44" s="18"/>
      <c r="F44" s="18"/>
      <c r="G44" s="18"/>
      <c r="H44" s="44"/>
      <c r="I44" s="44"/>
      <c r="J44" s="44">
        <v>786.76499999999999</v>
      </c>
      <c r="K44" s="44">
        <v>885</v>
      </c>
      <c r="L44" s="44"/>
      <c r="M44" s="44">
        <v>1062.885</v>
      </c>
      <c r="N44" s="44">
        <v>885</v>
      </c>
      <c r="O44" s="44"/>
      <c r="P44" s="44"/>
      <c r="Q44" s="18"/>
      <c r="R44" s="18"/>
      <c r="S44" s="18"/>
      <c r="T44" s="18"/>
    </row>
    <row r="45" spans="1:22" x14ac:dyDescent="0.2">
      <c r="A45" s="18"/>
      <c r="B45" s="18"/>
      <c r="C45" s="18"/>
      <c r="D45" s="18"/>
      <c r="E45" s="18"/>
      <c r="F45" s="18"/>
      <c r="G45" s="18"/>
      <c r="H45" s="44"/>
      <c r="I45" s="44"/>
      <c r="J45" s="44">
        <v>1205.4780000000001</v>
      </c>
      <c r="K45" s="44">
        <v>1158</v>
      </c>
      <c r="L45" s="44"/>
      <c r="M45" s="44">
        <v>1390.758</v>
      </c>
      <c r="N45" s="44">
        <v>1158</v>
      </c>
      <c r="O45" s="44"/>
      <c r="P45" s="44"/>
      <c r="Q45" s="18"/>
      <c r="R45" s="18"/>
      <c r="S45" s="18"/>
      <c r="T45" s="18"/>
    </row>
    <row r="46" spans="1:22" x14ac:dyDescent="0.2">
      <c r="A46" s="18"/>
      <c r="B46" s="18"/>
      <c r="C46" s="18"/>
      <c r="D46" s="18"/>
      <c r="E46" s="18"/>
      <c r="F46" s="18"/>
      <c r="G46" s="18"/>
      <c r="H46" s="44"/>
      <c r="I46" s="44"/>
      <c r="J46" s="44">
        <v>1390.758</v>
      </c>
      <c r="K46" s="44">
        <v>1158</v>
      </c>
      <c r="L46" s="44"/>
      <c r="M46" s="44"/>
      <c r="N46" s="44"/>
      <c r="O46" s="44"/>
      <c r="P46" s="44"/>
      <c r="Q46" s="18"/>
      <c r="R46" s="18"/>
      <c r="S46" s="18"/>
      <c r="T46" s="18"/>
    </row>
    <row r="47" spans="1:22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2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2:20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</sheetData>
  <sheetProtection sheet="1" objects="1" scenarios="1"/>
  <mergeCells count="7">
    <mergeCell ref="C15:D15"/>
    <mergeCell ref="C5:D5"/>
    <mergeCell ref="C6:D6"/>
    <mergeCell ref="C9:D9"/>
    <mergeCell ref="C10:D10"/>
    <mergeCell ref="C11:D11"/>
    <mergeCell ref="C13:D13"/>
  </mergeCells>
  <conditionalFormatting sqref="C9:E9">
    <cfRule type="expression" dxfId="19" priority="5" stopIfTrue="1">
      <formula>"($F$9+$F$10)&gt;54"</formula>
    </cfRule>
  </conditionalFormatting>
  <conditionalFormatting sqref="D12:E12 D14:E14">
    <cfRule type="cellIs" dxfId="18" priority="1" stopIfTrue="1" operator="greaterThan">
      <formula>200.6</formula>
    </cfRule>
  </conditionalFormatting>
  <conditionalFormatting sqref="G9:G10">
    <cfRule type="expression" dxfId="17" priority="4" stopIfTrue="1">
      <formula>($G$9+$G$10)&gt;54</formula>
    </cfRule>
  </conditionalFormatting>
  <conditionalFormatting sqref="G11 G13:G14">
    <cfRule type="cellIs" dxfId="16" priority="2" stopIfTrue="1" operator="greaterThan">
      <formula>1161</formula>
    </cfRule>
  </conditionalFormatting>
  <conditionalFormatting sqref="G15">
    <cfRule type="cellIs" dxfId="15" priority="3" stopIfTrue="1" operator="greaterThan">
      <formula>1158</formula>
    </cfRule>
  </conditionalFormatting>
  <pageMargins left="0.7" right="0.7" top="0.78740157499999996" bottom="0.78740157499999996" header="0.3" footer="0.3"/>
  <pageSetup paperSize="9" scale="88" fitToHeight="0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07" r:id="rId4" name="Spinner 7">
              <controlPr defaultSize="0" autoPict="0">
                <anchor moveWithCells="1" sizeWithCells="1">
                  <from>
                    <xdr:col>4</xdr:col>
                    <xdr:colOff>28575</xdr:colOff>
                    <xdr:row>7</xdr:row>
                    <xdr:rowOff>28575</xdr:rowOff>
                  </from>
                  <to>
                    <xdr:col>4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8" r:id="rId5" name="Spinner 8">
              <controlPr defaultSize="0" autoPict="0">
                <anchor moveWithCells="1" siz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9" r:id="rId6" name="Spinner 9">
              <controlPr defaultSize="0" autoPict="0">
                <anchor moveWithCells="1" siz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4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0" r:id="rId7" name="Spinner 10">
              <controlPr defaultSize="0" autoPict="0">
                <anchor moveWithCells="1" siz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514350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1" r:id="rId8" name="Spinner 11">
              <controlPr defaultSiz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504825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2" r:id="rId9" name="Spinner 12">
              <controlPr defaultSiz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V47"/>
  <sheetViews>
    <sheetView zoomScale="82" zoomScaleNormal="82" workbookViewId="0">
      <selection activeCell="V28" sqref="V28"/>
    </sheetView>
  </sheetViews>
  <sheetFormatPr baseColWidth="10" defaultColWidth="11.42578125" defaultRowHeight="12.75" x14ac:dyDescent="0.2"/>
  <cols>
    <col min="1" max="1" width="5.28515625" customWidth="1"/>
    <col min="2" max="2" width="3.85546875" customWidth="1"/>
    <col min="3" max="3" width="45.85546875" customWidth="1"/>
    <col min="4" max="4" width="12.5703125" customWidth="1"/>
    <col min="5" max="5" width="7.85546875" customWidth="1"/>
    <col min="6" max="6" width="8.140625" hidden="1" customWidth="1"/>
    <col min="7" max="7" width="9.85546875" customWidth="1"/>
    <col min="8" max="8" width="10.28515625" customWidth="1"/>
    <col min="9" max="9" width="11.140625" customWidth="1"/>
  </cols>
  <sheetData>
    <row r="3" spans="1:9" ht="9" customHeight="1" x14ac:dyDescent="0.2">
      <c r="F3" s="217"/>
      <c r="G3" s="217" t="s">
        <v>0</v>
      </c>
    </row>
    <row r="4" spans="1:9" ht="18.75" customHeight="1" thickBot="1" x14ac:dyDescent="0.25">
      <c r="C4" t="s">
        <v>1</v>
      </c>
    </row>
    <row r="5" spans="1:9" ht="39" thickBot="1" x14ac:dyDescent="0.25">
      <c r="B5" s="7"/>
      <c r="C5" s="226" t="s">
        <v>117</v>
      </c>
      <c r="D5" s="227"/>
      <c r="E5" s="21"/>
      <c r="F5" s="1" t="s">
        <v>3</v>
      </c>
      <c r="G5" s="5" t="s">
        <v>4</v>
      </c>
      <c r="H5" s="1" t="s">
        <v>5</v>
      </c>
      <c r="I5" s="14" t="s">
        <v>6</v>
      </c>
    </row>
    <row r="6" spans="1:9" ht="24.75" customHeight="1" thickBot="1" x14ac:dyDescent="0.25">
      <c r="A6" s="12"/>
      <c r="B6" s="204" t="s">
        <v>7</v>
      </c>
      <c r="C6" s="228" t="s">
        <v>118</v>
      </c>
      <c r="D6" s="229"/>
      <c r="E6" s="31"/>
      <c r="F6" s="2">
        <f>H6/G6</f>
        <v>0.9953518398967075</v>
      </c>
      <c r="G6" s="22">
        <v>774.5</v>
      </c>
      <c r="H6" s="23">
        <v>770.9</v>
      </c>
      <c r="I6" s="15">
        <f>(H6/G6)*1000</f>
        <v>995.35183989670747</v>
      </c>
    </row>
    <row r="7" spans="1:9" ht="30" customHeight="1" thickBot="1" x14ac:dyDescent="0.25">
      <c r="A7" s="12"/>
      <c r="B7" s="206">
        <v>2</v>
      </c>
      <c r="C7" s="8" t="s">
        <v>110</v>
      </c>
      <c r="D7" s="9"/>
      <c r="E7" s="32"/>
      <c r="F7" s="3">
        <v>0.94285714285714284</v>
      </c>
      <c r="G7" s="24">
        <v>200</v>
      </c>
      <c r="H7" s="25">
        <f>F7*G7</f>
        <v>188.57142857142856</v>
      </c>
      <c r="I7" s="16">
        <f>(H7/G7)*1000</f>
        <v>942.85714285714278</v>
      </c>
    </row>
    <row r="8" spans="1:9" ht="28.5" customHeight="1" thickTop="1" thickBot="1" x14ac:dyDescent="0.25">
      <c r="A8" s="12"/>
      <c r="B8" s="207">
        <v>3</v>
      </c>
      <c r="C8" s="8" t="s">
        <v>111</v>
      </c>
      <c r="D8" s="9"/>
      <c r="E8" s="32"/>
      <c r="F8" s="3">
        <v>1.8551948051948051</v>
      </c>
      <c r="G8" s="24">
        <v>0</v>
      </c>
      <c r="H8" s="25">
        <f>F8*G8</f>
        <v>0</v>
      </c>
      <c r="I8" s="16" t="str">
        <f>IF(G8=0,"-",(H8/G8)*1000)</f>
        <v>-</v>
      </c>
    </row>
    <row r="9" spans="1:9" ht="26.25" customHeight="1" thickTop="1" thickBot="1" x14ac:dyDescent="0.25">
      <c r="A9" s="12"/>
      <c r="B9" s="208">
        <v>4</v>
      </c>
      <c r="C9" s="230" t="s">
        <v>11</v>
      </c>
      <c r="D9" s="224"/>
      <c r="E9" s="33"/>
      <c r="F9" s="3">
        <v>2.4210526315789469</v>
      </c>
      <c r="G9" s="24">
        <v>20</v>
      </c>
      <c r="H9" s="25">
        <f>F9*G9</f>
        <v>48.421052631578938</v>
      </c>
      <c r="I9" s="16">
        <f>IF(G9=0,"-",(H9/G9)*1000)</f>
        <v>2421.0526315789471</v>
      </c>
    </row>
    <row r="10" spans="1:9" ht="25.5" customHeight="1" thickTop="1" thickBot="1" x14ac:dyDescent="0.25">
      <c r="A10" s="12"/>
      <c r="B10" s="209">
        <v>5</v>
      </c>
      <c r="C10" s="223" t="s">
        <v>12</v>
      </c>
      <c r="D10" s="224"/>
      <c r="E10" s="33"/>
      <c r="F10" s="3">
        <v>3.1111111111111107</v>
      </c>
      <c r="G10" s="24">
        <v>0</v>
      </c>
      <c r="H10" s="25">
        <f>F10*G10</f>
        <v>0</v>
      </c>
      <c r="I10" s="16" t="str">
        <f>IF(G10=0,"-",(H10/G10)*1000)</f>
        <v>-</v>
      </c>
    </row>
    <row r="11" spans="1:9" ht="27" customHeight="1" thickTop="1" thickBot="1" x14ac:dyDescent="0.25">
      <c r="A11" s="12"/>
      <c r="B11" s="210">
        <v>6</v>
      </c>
      <c r="C11" s="223" t="s">
        <v>13</v>
      </c>
      <c r="D11" s="224"/>
      <c r="E11" s="33"/>
      <c r="G11" s="26">
        <f>SUM(G6:G10)</f>
        <v>994.5</v>
      </c>
      <c r="H11" s="27">
        <f>SUM(H6:H10)</f>
        <v>1007.8924812030075</v>
      </c>
      <c r="I11" s="16">
        <f>(H11/G11)*1000</f>
        <v>1013.4665472126771</v>
      </c>
    </row>
    <row r="12" spans="1:9" ht="30.75" customHeight="1" thickBot="1" x14ac:dyDescent="0.25">
      <c r="A12" s="12"/>
      <c r="B12" s="211" t="s">
        <v>14</v>
      </c>
      <c r="C12" s="10" t="s">
        <v>114</v>
      </c>
      <c r="D12" s="219">
        <v>200</v>
      </c>
      <c r="E12" s="213"/>
      <c r="F12" s="6">
        <v>1.2130000000000001</v>
      </c>
      <c r="G12" s="28">
        <f>D12*0.72</f>
        <v>144</v>
      </c>
      <c r="H12" s="25">
        <f>F12*G12</f>
        <v>174.67200000000003</v>
      </c>
      <c r="I12" s="16">
        <f>(H12/G12)*1000</f>
        <v>1213</v>
      </c>
    </row>
    <row r="13" spans="1:9" ht="33.75" customHeight="1" thickTop="1" thickBot="1" x14ac:dyDescent="0.25">
      <c r="A13" s="12"/>
      <c r="B13" s="210" t="s">
        <v>16</v>
      </c>
      <c r="C13" s="223" t="s">
        <v>119</v>
      </c>
      <c r="D13" s="224"/>
      <c r="E13" s="33"/>
      <c r="F13" s="3">
        <f>H13/G13</f>
        <v>1.0387039799762912</v>
      </c>
      <c r="G13" s="26">
        <f>SUM(G11:G12)</f>
        <v>1138.5</v>
      </c>
      <c r="H13" s="27">
        <f>SUM(H11:H12)</f>
        <v>1182.5644812030075</v>
      </c>
      <c r="I13" s="16">
        <f>(H13/G13)*1000</f>
        <v>1038.7039799762911</v>
      </c>
    </row>
    <row r="14" spans="1:9" ht="35.25" customHeight="1" thickBot="1" x14ac:dyDescent="0.25">
      <c r="A14" s="12"/>
      <c r="B14" s="214" t="s">
        <v>18</v>
      </c>
      <c r="C14" s="11" t="s">
        <v>19</v>
      </c>
      <c r="D14" s="219">
        <v>5</v>
      </c>
      <c r="E14" s="213"/>
      <c r="F14" s="6">
        <v>1.2130000000000001</v>
      </c>
      <c r="G14" s="26">
        <f>-(D14*0.72)</f>
        <v>-3.5999999999999996</v>
      </c>
      <c r="H14" s="27">
        <f>F14*G14</f>
        <v>-4.3667999999999996</v>
      </c>
      <c r="I14" s="16">
        <f>(H14/G14)*1000</f>
        <v>1213</v>
      </c>
    </row>
    <row r="15" spans="1:9" ht="40.5" customHeight="1" thickTop="1" thickBot="1" x14ac:dyDescent="0.25">
      <c r="A15" s="12"/>
      <c r="B15" s="210" t="s">
        <v>20</v>
      </c>
      <c r="C15" s="223" t="s">
        <v>116</v>
      </c>
      <c r="D15" s="224"/>
      <c r="E15" s="34"/>
      <c r="F15" s="4">
        <f>H15/G15</f>
        <v>1.0381510980729645</v>
      </c>
      <c r="G15" s="29">
        <f>SUM(G13:G14)</f>
        <v>1134.9000000000001</v>
      </c>
      <c r="H15" s="30">
        <f>SUM(H13:H14)</f>
        <v>1178.1976812030075</v>
      </c>
      <c r="I15" s="17">
        <f>(H15/G15)*1000</f>
        <v>1038.1510980729645</v>
      </c>
    </row>
    <row r="16" spans="1:9" ht="4.5" customHeight="1" thickBot="1" x14ac:dyDescent="0.3">
      <c r="C16" s="220" t="str">
        <f>IF(G9&gt;54,"Zuladung Gepäckraum 1  überschritten!","")</f>
        <v/>
      </c>
      <c r="G16" s="13"/>
      <c r="H16" s="20" t="str">
        <f>IF(OR(I15&gt;1201,I11&gt;1201,I13&gt;1201),"Hintere Schwerpunktgrenze überschritten!","")</f>
        <v/>
      </c>
      <c r="I16" s="13"/>
    </row>
    <row r="17" spans="1:22" ht="22.5" customHeight="1" thickBot="1" x14ac:dyDescent="0.25">
      <c r="C17" s="150" t="str">
        <f>'OE-CFF'!G16</f>
        <v>Version V30</v>
      </c>
      <c r="H17" s="20" t="str">
        <f>IF(G13&gt;1161,"Max. Rampenmasse überschritten!","")</f>
        <v/>
      </c>
    </row>
    <row r="18" spans="1:22" ht="19.5" customHeight="1" x14ac:dyDescent="0.25">
      <c r="C18" s="220" t="str">
        <f>IF(G9+G10&gt;54,"Max. Gepäckzuladung überschritten!","")</f>
        <v/>
      </c>
      <c r="D18" s="35"/>
      <c r="E18" s="35">
        <v>0</v>
      </c>
      <c r="F18" s="41"/>
      <c r="G18" s="41"/>
      <c r="H18" s="20" t="str">
        <f>IF(G15&gt;1158,"Max. Abflugmasse überschritten!","")</f>
        <v/>
      </c>
      <c r="I18" s="41"/>
      <c r="J18" s="41"/>
      <c r="K18" s="41"/>
      <c r="L18" s="41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x14ac:dyDescent="0.2">
      <c r="A19" s="18"/>
      <c r="B19" s="18"/>
      <c r="C19" s="35"/>
      <c r="D19" s="35"/>
      <c r="E19" s="35"/>
      <c r="F19" s="36"/>
      <c r="G19" s="36"/>
      <c r="H19" s="3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x14ac:dyDescent="0.2">
      <c r="A20" s="18"/>
      <c r="B20" s="18"/>
      <c r="C20" s="35"/>
      <c r="D20" s="35"/>
      <c r="E20" s="35"/>
      <c r="F20" s="35"/>
      <c r="G20" s="36"/>
      <c r="H20" s="3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x14ac:dyDescent="0.2">
      <c r="A21" s="18"/>
      <c r="B21" s="18"/>
      <c r="C21" s="35"/>
      <c r="D21" s="35"/>
      <c r="E21" s="35"/>
      <c r="F21" s="35"/>
      <c r="G21" s="36" t="s">
        <v>23</v>
      </c>
      <c r="H21" s="36" t="s">
        <v>24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x14ac:dyDescent="0.2">
      <c r="A22" s="18"/>
      <c r="B22" s="18"/>
      <c r="C22" s="35"/>
      <c r="D22" s="35" t="s">
        <v>25</v>
      </c>
      <c r="E22" s="35"/>
      <c r="F22" s="35"/>
      <c r="G22" s="37">
        <f>G6</f>
        <v>774.5</v>
      </c>
      <c r="H22" s="37">
        <f>H6</f>
        <v>770.9</v>
      </c>
      <c r="I22" s="37"/>
      <c r="J22" s="35"/>
      <c r="K22" s="36">
        <v>250</v>
      </c>
      <c r="L22" s="36">
        <v>270</v>
      </c>
      <c r="M22" s="36">
        <v>290</v>
      </c>
      <c r="N22" s="36">
        <v>310</v>
      </c>
      <c r="O22" s="36">
        <v>330</v>
      </c>
      <c r="P22" s="36">
        <v>350</v>
      </c>
      <c r="Q22" s="36">
        <v>370</v>
      </c>
      <c r="R22" s="36">
        <v>390</v>
      </c>
      <c r="S22" s="35"/>
      <c r="T22" s="35"/>
      <c r="U22" s="35"/>
      <c r="V22" s="35"/>
    </row>
    <row r="23" spans="1:22" x14ac:dyDescent="0.2">
      <c r="A23" s="18"/>
      <c r="B23" s="18"/>
      <c r="C23" s="35"/>
      <c r="D23" s="38" t="s">
        <v>26</v>
      </c>
      <c r="E23" s="38"/>
      <c r="F23" s="37">
        <f>G23-G30</f>
        <v>974.5</v>
      </c>
      <c r="G23" s="37">
        <f t="shared" ref="G23:H26" si="0">G22+G7</f>
        <v>974.5</v>
      </c>
      <c r="H23" s="37">
        <f t="shared" si="0"/>
        <v>959.47142857142853</v>
      </c>
      <c r="I23" s="37"/>
      <c r="J23" s="35">
        <v>1158</v>
      </c>
      <c r="K23" s="36">
        <f t="shared" ref="K23:R24" si="1">K$22*$J23/1000</f>
        <v>289.5</v>
      </c>
      <c r="L23" s="36">
        <f t="shared" si="1"/>
        <v>312.66000000000003</v>
      </c>
      <c r="M23" s="36">
        <f t="shared" si="1"/>
        <v>335.82</v>
      </c>
      <c r="N23" s="36">
        <f t="shared" si="1"/>
        <v>358.98</v>
      </c>
      <c r="O23" s="36">
        <f t="shared" si="1"/>
        <v>382.14</v>
      </c>
      <c r="P23" s="36">
        <f t="shared" si="1"/>
        <v>405.3</v>
      </c>
      <c r="Q23" s="36">
        <f t="shared" si="1"/>
        <v>428.46</v>
      </c>
      <c r="R23" s="36">
        <f t="shared" si="1"/>
        <v>451.62</v>
      </c>
      <c r="S23" s="35"/>
      <c r="T23" s="35"/>
      <c r="U23" s="35"/>
      <c r="V23" s="35"/>
    </row>
    <row r="24" spans="1:22" x14ac:dyDescent="0.2">
      <c r="A24" s="18"/>
      <c r="B24" s="18"/>
      <c r="C24" s="35"/>
      <c r="D24" s="39" t="s">
        <v>27</v>
      </c>
      <c r="E24" s="39"/>
      <c r="F24" s="37">
        <f>G24-G23</f>
        <v>0</v>
      </c>
      <c r="G24" s="37">
        <f t="shared" si="0"/>
        <v>974.5</v>
      </c>
      <c r="H24" s="37">
        <f t="shared" si="0"/>
        <v>959.47142857142853</v>
      </c>
      <c r="I24" s="37"/>
      <c r="J24" s="35">
        <v>560</v>
      </c>
      <c r="K24" s="36">
        <f t="shared" si="1"/>
        <v>140</v>
      </c>
      <c r="L24" s="36">
        <f t="shared" si="1"/>
        <v>151.19999999999999</v>
      </c>
      <c r="M24" s="36">
        <f t="shared" si="1"/>
        <v>162.4</v>
      </c>
      <c r="N24" s="36">
        <f t="shared" si="1"/>
        <v>173.6</v>
      </c>
      <c r="O24" s="36">
        <f t="shared" si="1"/>
        <v>184.8</v>
      </c>
      <c r="P24" s="36">
        <f t="shared" si="1"/>
        <v>196</v>
      </c>
      <c r="Q24" s="36">
        <f t="shared" si="1"/>
        <v>207.2</v>
      </c>
      <c r="R24" s="36">
        <f t="shared" si="1"/>
        <v>218.4</v>
      </c>
      <c r="S24" s="35"/>
      <c r="T24" s="35"/>
      <c r="U24" s="35"/>
      <c r="V24" s="35"/>
    </row>
    <row r="25" spans="1:22" x14ac:dyDescent="0.2">
      <c r="A25" s="18"/>
      <c r="B25" s="18"/>
      <c r="C25" s="35"/>
      <c r="D25" s="39" t="s">
        <v>28</v>
      </c>
      <c r="E25" s="39"/>
      <c r="F25" s="37">
        <f>G25-G24</f>
        <v>20</v>
      </c>
      <c r="G25" s="37">
        <f t="shared" si="0"/>
        <v>994.5</v>
      </c>
      <c r="H25" s="37">
        <f t="shared" si="0"/>
        <v>1007.8924812030075</v>
      </c>
      <c r="I25" s="37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x14ac:dyDescent="0.2">
      <c r="A26" s="18"/>
      <c r="B26" s="18"/>
      <c r="C26" s="35"/>
      <c r="D26" s="40" t="s">
        <v>29</v>
      </c>
      <c r="E26" s="40"/>
      <c r="F26" s="37">
        <f>G26-G25</f>
        <v>0</v>
      </c>
      <c r="G26" s="37">
        <f t="shared" si="0"/>
        <v>994.5</v>
      </c>
      <c r="H26" s="37">
        <f t="shared" si="0"/>
        <v>1007.8924812030075</v>
      </c>
      <c r="I26" s="37"/>
      <c r="J26" s="35">
        <v>730</v>
      </c>
      <c r="K26" s="35">
        <f>J26*K22/1000</f>
        <v>182.5</v>
      </c>
      <c r="L26" s="35"/>
      <c r="M26" s="37">
        <f>H13</f>
        <v>1182.5644812030075</v>
      </c>
      <c r="N26" s="37">
        <f>G13</f>
        <v>1138.5</v>
      </c>
      <c r="O26" s="35"/>
      <c r="P26" s="35"/>
      <c r="Q26" s="35"/>
      <c r="R26" s="35"/>
      <c r="S26" s="35"/>
      <c r="T26" s="35"/>
      <c r="U26" s="35"/>
      <c r="V26" s="35"/>
    </row>
    <row r="27" spans="1:22" x14ac:dyDescent="0.2">
      <c r="A27" s="18"/>
      <c r="B27" s="18"/>
      <c r="C27" s="35"/>
      <c r="D27" s="40" t="s">
        <v>30</v>
      </c>
      <c r="E27" s="40"/>
      <c r="F27" s="35"/>
      <c r="G27" s="37">
        <f>G26+G12</f>
        <v>1138.5</v>
      </c>
      <c r="H27" s="37">
        <f>H26+H12</f>
        <v>1182.5644812030075</v>
      </c>
      <c r="I27" s="37"/>
      <c r="J27" s="35">
        <v>730</v>
      </c>
      <c r="K27" s="35">
        <f>J27*R22/1000</f>
        <v>284.7</v>
      </c>
      <c r="L27" s="35"/>
      <c r="M27" s="37">
        <f>H15</f>
        <v>1178.1976812030075</v>
      </c>
      <c r="N27" s="37">
        <f>G15</f>
        <v>1134.9000000000001</v>
      </c>
      <c r="O27" s="35"/>
      <c r="P27" s="35"/>
      <c r="Q27" s="35"/>
      <c r="R27" s="35"/>
      <c r="S27" s="35"/>
      <c r="T27" s="35"/>
      <c r="U27" s="35"/>
      <c r="V27" s="35"/>
    </row>
    <row r="28" spans="1:22" x14ac:dyDescent="0.2">
      <c r="A28" s="18"/>
      <c r="B28" s="18"/>
      <c r="C28" s="35"/>
      <c r="D28" s="40" t="s">
        <v>31</v>
      </c>
      <c r="E28" s="40"/>
      <c r="F28" s="35"/>
      <c r="G28" s="37">
        <f>G27+G14</f>
        <v>1134.9000000000001</v>
      </c>
      <c r="H28" s="37">
        <f>H27+H14</f>
        <v>1178.1976812030075</v>
      </c>
      <c r="I28" s="3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x14ac:dyDescent="0.2">
      <c r="A29" s="18"/>
      <c r="B29" s="1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x14ac:dyDescent="0.2">
      <c r="A30" s="18"/>
      <c r="B30" s="18"/>
      <c r="C30" s="35"/>
      <c r="D30" s="35"/>
      <c r="E30" s="35"/>
      <c r="F30" s="35"/>
      <c r="G30" s="37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x14ac:dyDescent="0.2">
      <c r="A31" s="18"/>
      <c r="B31" s="18"/>
      <c r="C31" s="35"/>
      <c r="D31" s="35"/>
      <c r="E31" s="35"/>
      <c r="F31" s="35"/>
      <c r="G31" s="35"/>
      <c r="H31" s="35"/>
      <c r="I31" s="35"/>
      <c r="J31" s="35"/>
      <c r="K31" s="36" t="s">
        <v>32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x14ac:dyDescent="0.2">
      <c r="A32" s="18"/>
      <c r="B32" s="18"/>
      <c r="C32" s="35"/>
      <c r="D32" s="35"/>
      <c r="E32" s="35"/>
      <c r="F32" s="35"/>
      <c r="G32" s="35"/>
      <c r="H32" s="35"/>
      <c r="I32" s="35"/>
      <c r="J32" s="36" t="s">
        <v>33</v>
      </c>
      <c r="K32" s="35" t="s">
        <v>34</v>
      </c>
      <c r="L32" s="35" t="s">
        <v>35</v>
      </c>
      <c r="M32" s="35" t="s">
        <v>36</v>
      </c>
      <c r="N32" s="35"/>
      <c r="O32" s="35"/>
      <c r="P32" s="35"/>
      <c r="Q32" s="35"/>
      <c r="R32" s="35"/>
      <c r="S32" s="35"/>
      <c r="T32" s="35"/>
      <c r="U32" s="35"/>
      <c r="V32" s="35"/>
    </row>
    <row r="33" spans="1:22" x14ac:dyDescent="0.2">
      <c r="A33" s="18"/>
      <c r="B33" s="18"/>
      <c r="C33" s="35"/>
      <c r="D33" s="35"/>
      <c r="E33" s="35"/>
      <c r="F33" s="35"/>
      <c r="G33" s="35"/>
      <c r="H33" s="35"/>
      <c r="I33" s="35"/>
      <c r="J33" s="36" t="s">
        <v>37</v>
      </c>
      <c r="K33" s="36">
        <v>889</v>
      </c>
      <c r="L33" s="35">
        <v>1201</v>
      </c>
      <c r="M33" s="35">
        <v>885</v>
      </c>
      <c r="N33" s="35">
        <v>889</v>
      </c>
      <c r="O33" s="35" t="s">
        <v>34</v>
      </c>
      <c r="P33" s="35"/>
      <c r="Q33" s="35"/>
      <c r="R33" s="35"/>
      <c r="S33" s="35"/>
      <c r="T33" s="35"/>
      <c r="U33" s="35"/>
      <c r="V33" s="35"/>
    </row>
    <row r="34" spans="1:22" x14ac:dyDescent="0.2">
      <c r="A34" s="18"/>
      <c r="B34" s="18"/>
      <c r="C34" s="35"/>
      <c r="D34" s="35"/>
      <c r="E34" s="35"/>
      <c r="F34" s="35"/>
      <c r="G34" s="35"/>
      <c r="H34" s="35"/>
      <c r="I34" s="35"/>
      <c r="J34" s="36">
        <v>885</v>
      </c>
      <c r="K34" s="36">
        <v>889</v>
      </c>
      <c r="L34" s="35">
        <v>1201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x14ac:dyDescent="0.2">
      <c r="A35" s="18"/>
      <c r="B35" s="18"/>
      <c r="C35" s="35"/>
      <c r="D35" s="35"/>
      <c r="E35" s="35"/>
      <c r="F35" s="35"/>
      <c r="G35" s="35"/>
      <c r="H35" s="35"/>
      <c r="I35" s="35"/>
      <c r="J35" s="36">
        <v>1158</v>
      </c>
      <c r="K35" s="36">
        <v>1041</v>
      </c>
      <c r="L35" s="35">
        <v>1201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x14ac:dyDescent="0.2">
      <c r="A36" s="18"/>
      <c r="B36" s="18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x14ac:dyDescent="0.2">
      <c r="A37" s="18"/>
      <c r="B37" s="18"/>
      <c r="C37" s="35"/>
      <c r="D37" s="35"/>
      <c r="E37" s="35"/>
      <c r="F37" s="35"/>
      <c r="G37" s="35"/>
      <c r="H37" s="35"/>
      <c r="I37" s="35"/>
      <c r="J37" s="35"/>
      <c r="K37" s="36" t="s">
        <v>38</v>
      </c>
      <c r="L37" s="36"/>
      <c r="M37" s="36" t="s">
        <v>39</v>
      </c>
      <c r="N37" s="36"/>
      <c r="O37" s="35"/>
      <c r="P37" s="35"/>
      <c r="Q37" s="35"/>
      <c r="R37" s="35"/>
      <c r="S37" s="35"/>
      <c r="T37" s="35"/>
      <c r="U37" s="35"/>
      <c r="V37" s="35"/>
    </row>
    <row r="38" spans="1:22" x14ac:dyDescent="0.2">
      <c r="A38" s="18"/>
      <c r="B38" s="18"/>
      <c r="C38" s="35"/>
      <c r="D38" s="35"/>
      <c r="E38" s="35"/>
      <c r="F38" s="35"/>
      <c r="G38" s="35"/>
      <c r="H38" s="35"/>
      <c r="I38" s="35"/>
      <c r="J38" s="35">
        <v>700</v>
      </c>
      <c r="K38" s="36">
        <v>889</v>
      </c>
      <c r="L38" s="38">
        <f>K38*J38/1000</f>
        <v>622.29999999999995</v>
      </c>
      <c r="M38" s="36">
        <v>1201</v>
      </c>
      <c r="N38" s="35">
        <f>J38*M38/1000</f>
        <v>840.7</v>
      </c>
      <c r="O38" s="35">
        <v>700</v>
      </c>
      <c r="P38" s="35"/>
      <c r="Q38" s="35"/>
      <c r="R38" s="35"/>
      <c r="S38" s="35"/>
      <c r="T38" s="35"/>
      <c r="U38" s="35"/>
      <c r="V38" s="35"/>
    </row>
    <row r="39" spans="1:22" x14ac:dyDescent="0.2">
      <c r="A39" s="18"/>
      <c r="B39" s="18"/>
      <c r="C39" s="35"/>
      <c r="D39" s="35"/>
      <c r="E39" s="35"/>
      <c r="F39" s="35"/>
      <c r="G39" s="35"/>
      <c r="H39" s="35"/>
      <c r="I39" s="35"/>
      <c r="J39" s="35">
        <v>885</v>
      </c>
      <c r="K39" s="36">
        <v>889</v>
      </c>
      <c r="L39" s="38">
        <f>K39*J39/1000</f>
        <v>786.76499999999999</v>
      </c>
      <c r="M39" s="36">
        <v>1201</v>
      </c>
      <c r="N39" s="35">
        <f>J39*M39/1000</f>
        <v>1062.885</v>
      </c>
      <c r="O39" s="35">
        <v>885</v>
      </c>
      <c r="P39" s="35"/>
      <c r="Q39" s="35"/>
      <c r="R39" s="35"/>
      <c r="S39" s="35"/>
      <c r="T39" s="35"/>
      <c r="U39" s="35"/>
      <c r="V39" s="35"/>
    </row>
    <row r="40" spans="1:22" x14ac:dyDescent="0.2">
      <c r="A40" s="18"/>
      <c r="B40" s="18"/>
      <c r="C40" s="35"/>
      <c r="D40" s="35"/>
      <c r="E40" s="35"/>
      <c r="F40" s="35"/>
      <c r="G40" s="35"/>
      <c r="H40" s="35"/>
      <c r="I40" s="35"/>
      <c r="J40" s="35">
        <v>1158</v>
      </c>
      <c r="K40" s="36">
        <v>1041</v>
      </c>
      <c r="L40" s="38">
        <f>K40*J40/1000</f>
        <v>1205.4780000000001</v>
      </c>
      <c r="M40" s="36">
        <v>1201</v>
      </c>
      <c r="N40" s="35">
        <f>J40*M40/1000</f>
        <v>1390.758</v>
      </c>
      <c r="O40" s="35">
        <v>1158</v>
      </c>
      <c r="P40" s="35"/>
      <c r="Q40" s="35"/>
      <c r="R40" s="35"/>
      <c r="S40" s="35"/>
      <c r="T40" s="35"/>
      <c r="U40" s="35"/>
      <c r="V40" s="35"/>
    </row>
    <row r="41" spans="1:22" x14ac:dyDescent="0.2">
      <c r="A41" s="18"/>
      <c r="B41" s="18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x14ac:dyDescent="0.2">
      <c r="A42" s="18"/>
      <c r="B42" s="18"/>
      <c r="C42" s="35"/>
      <c r="D42" s="35"/>
      <c r="E42" s="35"/>
      <c r="F42" s="35"/>
      <c r="G42" s="35"/>
      <c r="H42" s="36"/>
      <c r="I42" s="36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x14ac:dyDescent="0.2">
      <c r="A43" s="18"/>
      <c r="B43" s="18"/>
      <c r="C43" s="35"/>
      <c r="D43" s="35"/>
      <c r="E43" s="35"/>
      <c r="F43" s="35"/>
      <c r="G43" s="35"/>
      <c r="H43" s="35"/>
      <c r="I43" s="35"/>
      <c r="J43" s="35">
        <v>622.29999999999995</v>
      </c>
      <c r="K43" s="35">
        <v>700</v>
      </c>
      <c r="L43" s="35"/>
      <c r="M43" s="35">
        <v>840.7</v>
      </c>
      <c r="N43" s="35">
        <v>700</v>
      </c>
      <c r="O43" s="35"/>
      <c r="P43" s="35"/>
      <c r="Q43" s="35"/>
      <c r="R43" s="35"/>
      <c r="S43" s="35"/>
      <c r="T43" s="35"/>
      <c r="U43" s="35"/>
      <c r="V43" s="35"/>
    </row>
    <row r="44" spans="1:22" x14ac:dyDescent="0.2">
      <c r="A44" s="18"/>
      <c r="B44" s="18"/>
      <c r="C44" s="18"/>
      <c r="D44" s="35"/>
      <c r="E44" s="35"/>
      <c r="F44" s="35"/>
      <c r="G44" s="35"/>
      <c r="H44" s="35"/>
      <c r="I44" s="35"/>
      <c r="J44" s="35">
        <v>786.76499999999999</v>
      </c>
      <c r="K44" s="35">
        <v>885</v>
      </c>
      <c r="L44" s="35"/>
      <c r="M44" s="35">
        <v>1062.885</v>
      </c>
      <c r="N44" s="35">
        <v>885</v>
      </c>
      <c r="O44" s="35"/>
      <c r="P44" s="35"/>
      <c r="Q44" s="18"/>
      <c r="R44" s="18"/>
      <c r="S44" s="18"/>
    </row>
    <row r="45" spans="1:22" x14ac:dyDescent="0.2">
      <c r="A45" s="18"/>
      <c r="B45" s="18"/>
      <c r="C45" s="18"/>
      <c r="D45" s="35"/>
      <c r="E45" s="35"/>
      <c r="F45" s="35"/>
      <c r="G45" s="35"/>
      <c r="H45" s="35"/>
      <c r="I45" s="35"/>
      <c r="J45" s="35">
        <v>1205.4780000000001</v>
      </c>
      <c r="K45" s="35">
        <v>1158</v>
      </c>
      <c r="L45" s="35"/>
      <c r="M45" s="35">
        <v>1390.758</v>
      </c>
      <c r="N45" s="35">
        <v>1158</v>
      </c>
      <c r="O45" s="35"/>
      <c r="P45" s="35"/>
      <c r="Q45" s="18"/>
      <c r="R45" s="18"/>
      <c r="S45" s="18"/>
    </row>
    <row r="46" spans="1:22" x14ac:dyDescent="0.2">
      <c r="A46" s="18"/>
      <c r="B46" s="18"/>
      <c r="C46" s="18"/>
      <c r="D46" s="35"/>
      <c r="E46" s="35"/>
      <c r="F46" s="35"/>
      <c r="G46" s="35"/>
      <c r="H46" s="35"/>
      <c r="I46" s="35"/>
      <c r="J46" s="35">
        <v>1390.758</v>
      </c>
      <c r="K46" s="35">
        <v>1158</v>
      </c>
      <c r="L46" s="35"/>
      <c r="M46" s="35"/>
      <c r="N46" s="35"/>
      <c r="O46" s="35"/>
      <c r="P46" s="35"/>
      <c r="Q46" s="18"/>
      <c r="R46" s="18"/>
      <c r="S46" s="18"/>
    </row>
    <row r="47" spans="1:22" x14ac:dyDescent="0.2">
      <c r="A47" s="18"/>
      <c r="B47" s="18"/>
      <c r="C47" s="18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18"/>
      <c r="R47" s="18"/>
      <c r="S47" s="18"/>
    </row>
  </sheetData>
  <sheetProtection sheet="1" objects="1" scenarios="1"/>
  <mergeCells count="7">
    <mergeCell ref="C15:D15"/>
    <mergeCell ref="C10:D10"/>
    <mergeCell ref="C5:D5"/>
    <mergeCell ref="C6:D6"/>
    <mergeCell ref="C13:D13"/>
    <mergeCell ref="C11:D11"/>
    <mergeCell ref="C9:D9"/>
  </mergeCells>
  <phoneticPr fontId="2" type="noConversion"/>
  <conditionalFormatting sqref="C9:E9">
    <cfRule type="expression" dxfId="14" priority="5" stopIfTrue="1">
      <formula>"($F$9+$F$10)&gt;54"</formula>
    </cfRule>
  </conditionalFormatting>
  <conditionalFormatting sqref="D12:E12 D14:E14">
    <cfRule type="cellIs" dxfId="13" priority="1" stopIfTrue="1" operator="greaterThan">
      <formula>200.6</formula>
    </cfRule>
  </conditionalFormatting>
  <conditionalFormatting sqref="G9:G10">
    <cfRule type="expression" dxfId="12" priority="4" stopIfTrue="1">
      <formula>($G$9+$G$10)&gt;54</formula>
    </cfRule>
  </conditionalFormatting>
  <conditionalFormatting sqref="G11 G13:G14">
    <cfRule type="cellIs" dxfId="11" priority="2" stopIfTrue="1" operator="greaterThan">
      <formula>1161</formula>
    </cfRule>
  </conditionalFormatting>
  <conditionalFormatting sqref="G15">
    <cfRule type="cellIs" dxfId="10" priority="3" stopIfTrue="1" operator="greaterThan">
      <formula>1158</formula>
    </cfRule>
  </conditionalFormatting>
  <pageMargins left="0.78740157499999996" right="0.78740157499999996" top="0.984251969" bottom="0.984251969" header="0.4921259845" footer="0.4921259845"/>
  <pageSetup scale="65" orientation="landscape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9" r:id="rId4" name="Spinner 221">
              <controlPr defaultSize="0" autoPict="0">
                <anchor moveWithCells="1" sizeWithCells="1">
                  <from>
                    <xdr:col>4</xdr:col>
                    <xdr:colOff>28575</xdr:colOff>
                    <xdr:row>7</xdr:row>
                    <xdr:rowOff>28575</xdr:rowOff>
                  </from>
                  <to>
                    <xdr:col>4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5" name="Spinner 222">
              <controlPr defaultSize="0" autoPict="0">
                <anchor moveWithCells="1" siz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6" name="Spinner 223">
              <controlPr defaultSize="0" autoPict="0">
                <anchor moveWithCells="1" siz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4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" name="Spinner 224">
              <controlPr defaultSize="0" autoPict="0">
                <anchor moveWithCells="1" siz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514350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8" name="Spinner 225">
              <controlPr defaultSiz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504825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9" name="Spinner 226">
              <controlPr defaultSiz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OE-CFF</vt:lpstr>
      <vt:lpstr>D-ELFH</vt:lpstr>
      <vt:lpstr>OE-AKI</vt:lpstr>
      <vt:lpstr>OE-AKW</vt:lpstr>
      <vt:lpstr>OE-DGE</vt:lpstr>
      <vt:lpstr>OE-KAS</vt:lpstr>
      <vt:lpstr>OE-KBS</vt:lpstr>
      <vt:lpstr>OE-DCL</vt:lpstr>
      <vt:lpstr>D-EUTC</vt:lpstr>
      <vt:lpstr>OE-KCS</vt:lpstr>
      <vt:lpstr>'D-EUTC'!Druckbereich</vt:lpstr>
      <vt:lpstr>'OE-CFF'!Druckbereich</vt:lpstr>
      <vt:lpstr>'OE-DCL'!Druckbereich</vt:lpstr>
      <vt:lpstr>'OE-DGE'!Druckbereich</vt:lpstr>
      <vt:lpstr>'OE-KAS'!Druckbereich</vt:lpstr>
      <vt:lpstr>'OE-KBS'!Druckbereich</vt:lpstr>
    </vt:vector>
  </TitlesOfParts>
  <Manager>erik@rosdol.at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 and Balance all 3fly.at Aircraft</dc:title>
  <dc:subject/>
  <dc:creator>Ing. Erik A Rosdol</dc:creator>
  <cp:keywords/>
  <dc:description/>
  <cp:lastModifiedBy>Erik Rosdol</cp:lastModifiedBy>
  <cp:revision/>
  <dcterms:created xsi:type="dcterms:W3CDTF">2008-01-10T13:26:52Z</dcterms:created>
  <dcterms:modified xsi:type="dcterms:W3CDTF">2025-03-17T16:07:50Z</dcterms:modified>
  <cp:category/>
  <cp:contentStatus/>
</cp:coreProperties>
</file>